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120" yWindow="-120" windowWidth="19420" windowHeight="11020" firstSheet="1" activeTab="2"/>
  </bookViews>
  <sheets>
    <sheet name="3- báo cáo" sheetId="34" state="hidden" r:id="rId1"/>
    <sheet name="Nghỉ hưu" sheetId="32" r:id="rId2"/>
    <sheet name="Thôi việc" sheetId="39" r:id="rId3"/>
    <sheet name="1a-Trình BNV" sheetId="16" state="hidden" r:id="rId4"/>
    <sheet name="1c-Trình BNV" sheetId="17" state="hidden" r:id="rId5"/>
    <sheet name="Biểu 2 " sheetId="19" state="hidden" r:id="rId6"/>
    <sheet name="Hưu - chi tiết " sheetId="36" state="hidden" r:id="rId7"/>
    <sheet name="Hưu - chi tiết  (2)" sheetId="38" state="hidden" r:id="rId8"/>
    <sheet name="TVN-Chi tiết" sheetId="37" state="hidden" r:id="rId9"/>
    <sheet name="1b-Chuyển sang tổ chức" sheetId="2" state="hidden" r:id="rId10"/>
    <sheet name="1d-Thôi việc sau khi đi học" sheetId="4" state="hidden" r:id="rId11"/>
    <sheet name="3-Báo cáo" sheetId="6" state="hidden" r:id="rId12"/>
    <sheet name="4-Báo cáo" sheetId="7" state="hidden" r:id="rId13"/>
    <sheet name="5-Báo cáo" sheetId="8" state="hidden" r:id="rId14"/>
  </sheets>
  <externalReferences>
    <externalReference r:id="rId15"/>
  </externalReferences>
  <definedNames>
    <definedName name="_xlnm._FilterDatabase" localSheetId="5" hidden="1">'Biểu 2 '!$A$14:$AK$24</definedName>
    <definedName name="_xlnm._FilterDatabase" localSheetId="6" hidden="1">'Hưu - chi tiết '!$A$14:$A$38</definedName>
    <definedName name="_xlnm._FilterDatabase" localSheetId="7" hidden="1">'Hưu - chi tiết  (2)'!$A$14:$A$15</definedName>
    <definedName name="_xlnm._FilterDatabase" localSheetId="1" hidden="1">'Nghỉ hưu'!$A$10:$XEI$30</definedName>
    <definedName name="_xlnm._FilterDatabase" localSheetId="2" hidden="1">'Thôi việc'!$B$7:$Y$14</definedName>
    <definedName name="_xlnm.Print_Area" localSheetId="0">'3- báo cáo'!$B$1:$AF$74</definedName>
    <definedName name="_xlnm.Print_Titles" localSheetId="3">'1a-Trình BNV'!$A:$C,'1a-Trình BNV'!$7:$8</definedName>
    <definedName name="_xlnm.Print_Titles" localSheetId="4">'1c-Trình BNV'!$A:$C,'1c-Trình BNV'!$7:$8</definedName>
    <definedName name="_xlnm.Print_Titles" localSheetId="0">'3- báo cáo'!$14:$16</definedName>
    <definedName name="_xlnm.Print_Titles" localSheetId="5">'Biểu 2 '!$14:$16</definedName>
    <definedName name="_xlnm.Print_Titles" localSheetId="1">'Nghỉ hưu'!$A:$C,'Nghỉ hưu'!$7:$9</definedName>
  </definedNames>
  <calcPr calcId="144525"/>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M9" i="39" l="1"/>
  <c r="O9" i="39" s="1"/>
  <c r="W9" i="39" s="1"/>
  <c r="M11" i="32"/>
  <c r="AF12" i="32"/>
  <c r="W12" i="39"/>
  <c r="O14" i="39"/>
  <c r="W14" i="39" s="1"/>
  <c r="E14" i="39"/>
  <c r="S14" i="39" s="1"/>
  <c r="O13" i="39"/>
  <c r="W13" i="39" s="1"/>
  <c r="E13" i="39"/>
  <c r="S13" i="39" s="1"/>
  <c r="O12" i="39"/>
  <c r="E12" i="39"/>
  <c r="S12" i="39" s="1"/>
  <c r="O11" i="39"/>
  <c r="W11" i="39" s="1"/>
  <c r="E11" i="39"/>
  <c r="S11" i="39" s="1"/>
  <c r="O10" i="39"/>
  <c r="W10" i="39" s="1"/>
  <c r="E10" i="39"/>
  <c r="S10" i="39" s="1"/>
  <c r="E9" i="39"/>
  <c r="S9" i="39" s="1"/>
  <c r="X14" i="39" l="1"/>
  <c r="V14" i="39"/>
  <c r="X13" i="39"/>
  <c r="V13" i="39"/>
  <c r="X9" i="39"/>
  <c r="V9" i="39"/>
  <c r="X10" i="39"/>
  <c r="V10" i="39"/>
  <c r="X11" i="39"/>
  <c r="V11" i="39"/>
  <c r="X12" i="39"/>
  <c r="V12" i="39"/>
  <c r="U12" i="39" l="1"/>
  <c r="U10" i="39"/>
  <c r="U11" i="39"/>
  <c r="U9" i="39"/>
  <c r="U14" i="39"/>
  <c r="U13" i="39"/>
  <c r="M12" i="32"/>
  <c r="O12" i="32" s="1"/>
  <c r="AE12" i="32" s="1"/>
  <c r="M13" i="32"/>
  <c r="O13" i="32" s="1"/>
  <c r="AE13" i="32" s="1"/>
  <c r="M14" i="32"/>
  <c r="O14" i="32" s="1"/>
  <c r="M15" i="32"/>
  <c r="O15" i="32" s="1"/>
  <c r="AE15" i="32" s="1"/>
  <c r="M16" i="32"/>
  <c r="O16" i="32" s="1"/>
  <c r="AE16" i="32" s="1"/>
  <c r="M17" i="32"/>
  <c r="O17" i="32" s="1"/>
  <c r="AE17" i="32" s="1"/>
  <c r="M18" i="32"/>
  <c r="O18" i="32" s="1"/>
  <c r="M19" i="32"/>
  <c r="O19" i="32" s="1"/>
  <c r="M20" i="32"/>
  <c r="O20" i="32" s="1"/>
  <c r="AE20" i="32" s="1"/>
  <c r="M21" i="32"/>
  <c r="O21" i="32" s="1"/>
  <c r="AE21" i="32" s="1"/>
  <c r="M22" i="32"/>
  <c r="O22" i="32" s="1"/>
  <c r="AE22" i="32" s="1"/>
  <c r="M23" i="32"/>
  <c r="O23" i="32" s="1"/>
  <c r="AE23" i="32" s="1"/>
  <c r="M24" i="32"/>
  <c r="O24" i="32" s="1"/>
  <c r="M25" i="32"/>
  <c r="O25" i="32" s="1"/>
  <c r="AE25" i="32" s="1"/>
  <c r="M26" i="32"/>
  <c r="O26" i="32" s="1"/>
  <c r="AE26" i="32" s="1"/>
  <c r="M27" i="32"/>
  <c r="O27" i="32" s="1"/>
  <c r="AE27" i="32" s="1"/>
  <c r="M28" i="32"/>
  <c r="O28" i="32" s="1"/>
  <c r="AE28" i="32" s="1"/>
  <c r="M29" i="32"/>
  <c r="O29" i="32" s="1"/>
  <c r="AE29" i="32" s="1"/>
  <c r="M30" i="32"/>
  <c r="O30" i="32" s="1"/>
  <c r="AE30" i="32" s="1"/>
  <c r="O11" i="32"/>
  <c r="AE11" i="32" s="1"/>
  <c r="D20" i="32"/>
  <c r="U20" i="32" s="1"/>
  <c r="V20" i="32" s="1"/>
  <c r="W20" i="32" s="1"/>
  <c r="D19" i="32"/>
  <c r="S19" i="32" s="1"/>
  <c r="D18" i="32"/>
  <c r="S18" i="32" s="1"/>
  <c r="D17" i="32"/>
  <c r="S17" i="32" s="1"/>
  <c r="D16" i="32"/>
  <c r="U16" i="32" s="1"/>
  <c r="V16" i="32" s="1"/>
  <c r="W16" i="32" s="1"/>
  <c r="D15" i="32"/>
  <c r="U15" i="32" s="1"/>
  <c r="V15" i="32" s="1"/>
  <c r="W15" i="32" s="1"/>
  <c r="D14" i="32"/>
  <c r="D13" i="32"/>
  <c r="S13" i="32" s="1"/>
  <c r="D12" i="32"/>
  <c r="S12" i="32" s="1"/>
  <c r="D11" i="32"/>
  <c r="U11" i="32" s="1"/>
  <c r="V11" i="32" s="1"/>
  <c r="W11" i="32" s="1"/>
  <c r="D26" i="32"/>
  <c r="U26" i="32" s="1"/>
  <c r="V26" i="32" s="1"/>
  <c r="W26" i="32" s="1"/>
  <c r="D25" i="32"/>
  <c r="S25" i="32" s="1"/>
  <c r="D24" i="32"/>
  <c r="S24" i="32" s="1"/>
  <c r="D23" i="32"/>
  <c r="U23" i="32" s="1"/>
  <c r="V23" i="32" s="1"/>
  <c r="W23" i="32" s="1"/>
  <c r="D22" i="32"/>
  <c r="U22" i="32" s="1"/>
  <c r="V22" i="32" s="1"/>
  <c r="W22" i="32" s="1"/>
  <c r="D21" i="32"/>
  <c r="U21" i="32" s="1"/>
  <c r="V21" i="32" s="1"/>
  <c r="W21" i="32" s="1"/>
  <c r="D29" i="32"/>
  <c r="S29" i="32" s="1"/>
  <c r="D28" i="32"/>
  <c r="S28" i="32" s="1"/>
  <c r="D27" i="32"/>
  <c r="U27" i="32" s="1"/>
  <c r="V27" i="32" s="1"/>
  <c r="W27" i="32" s="1"/>
  <c r="D30" i="32"/>
  <c r="U30" i="32" s="1"/>
  <c r="V30" i="32" s="1"/>
  <c r="W30" i="32" s="1"/>
  <c r="AE14" i="32" l="1"/>
  <c r="AD14" i="32"/>
  <c r="AD19" i="32"/>
  <c r="AE19" i="32"/>
  <c r="AE18" i="32"/>
  <c r="AD18" i="32"/>
  <c r="AD28" i="32"/>
  <c r="AD15" i="32"/>
  <c r="AD16" i="32"/>
  <c r="AD27" i="32"/>
  <c r="AD22" i="32"/>
  <c r="AD12" i="32"/>
  <c r="AD23" i="32"/>
  <c r="AF24" i="32"/>
  <c r="AH24" i="32" s="1"/>
  <c r="AD13" i="32"/>
  <c r="AD25" i="32"/>
  <c r="AD21" i="32"/>
  <c r="AD20" i="32"/>
  <c r="AD26" i="32"/>
  <c r="AD30" i="32"/>
  <c r="AD29" i="32"/>
  <c r="AD17" i="32"/>
  <c r="U14" i="32"/>
  <c r="V14" i="32" s="1"/>
  <c r="W14" i="32" s="1"/>
  <c r="S14" i="32"/>
  <c r="U17" i="32"/>
  <c r="V17" i="32" s="1"/>
  <c r="Z17" i="32" s="1"/>
  <c r="U12" i="32"/>
  <c r="V12" i="32" s="1"/>
  <c r="W12" i="32" s="1"/>
  <c r="X12" i="32" s="1"/>
  <c r="U18" i="32"/>
  <c r="V18" i="32" s="1"/>
  <c r="W18" i="32" s="1"/>
  <c r="Z18" i="32" s="1"/>
  <c r="S20" i="32"/>
  <c r="Z20" i="32" s="1"/>
  <c r="AD11" i="32"/>
  <c r="U13" i="32"/>
  <c r="V13" i="32" s="1"/>
  <c r="W13" i="32" s="1"/>
  <c r="U19" i="32"/>
  <c r="V19" i="32" s="1"/>
  <c r="W19" i="32" s="1"/>
  <c r="U24" i="32"/>
  <c r="V24" i="32" s="1"/>
  <c r="W24" i="32" s="1"/>
  <c r="Z24" i="32" s="1"/>
  <c r="S11" i="32"/>
  <c r="X11" i="32" s="1"/>
  <c r="S15" i="32"/>
  <c r="Z15" i="32" s="1"/>
  <c r="S16" i="32"/>
  <c r="Z16" i="32" s="1"/>
  <c r="U25" i="32"/>
  <c r="V25" i="32" s="1"/>
  <c r="W25" i="32" s="1"/>
  <c r="Z25" i="32" s="1"/>
  <c r="S26" i="32"/>
  <c r="Z26" i="32" s="1"/>
  <c r="S21" i="32"/>
  <c r="Z21" i="32" s="1"/>
  <c r="S22" i="32"/>
  <c r="X22" i="32" s="1"/>
  <c r="S23" i="32"/>
  <c r="X23" i="32" s="1"/>
  <c r="U28" i="32"/>
  <c r="V28" i="32" s="1"/>
  <c r="W28" i="32" s="1"/>
  <c r="U29" i="32"/>
  <c r="V29" i="32" s="1"/>
  <c r="W29" i="32" s="1"/>
  <c r="S27" i="32"/>
  <c r="Z27" i="32" s="1"/>
  <c r="S30" i="32"/>
  <c r="Z30" i="32" s="1"/>
  <c r="Z14" i="32" l="1"/>
  <c r="AB14" i="32" s="1"/>
  <c r="AC14" i="32"/>
  <c r="AB21" i="32"/>
  <c r="AC21" i="32"/>
  <c r="AB18" i="32"/>
  <c r="AC18" i="32"/>
  <c r="AB25" i="32"/>
  <c r="AC25" i="32"/>
  <c r="AB16" i="32"/>
  <c r="AC16" i="32"/>
  <c r="AC15" i="32"/>
  <c r="AB15" i="32"/>
  <c r="AB24" i="32"/>
  <c r="AC24" i="32"/>
  <c r="AB20" i="32"/>
  <c r="AC20" i="32"/>
  <c r="AC27" i="32"/>
  <c r="AB27" i="32"/>
  <c r="AC17" i="32"/>
  <c r="AB17" i="32"/>
  <c r="AC30" i="32"/>
  <c r="AB30" i="32"/>
  <c r="AB26" i="32"/>
  <c r="AC26" i="32"/>
  <c r="X17" i="32"/>
  <c r="X18" i="32"/>
  <c r="X24" i="32"/>
  <c r="Z12" i="32"/>
  <c r="AC12" i="32" s="1"/>
  <c r="X14" i="32"/>
  <c r="X20" i="32"/>
  <c r="Z11" i="32"/>
  <c r="X26" i="32"/>
  <c r="X25" i="32"/>
  <c r="Z22" i="32"/>
  <c r="X15" i="32"/>
  <c r="Z23" i="32"/>
  <c r="Z19" i="32"/>
  <c r="AC19" i="32" s="1"/>
  <c r="X19" i="32"/>
  <c r="X16" i="32"/>
  <c r="Z13" i="32"/>
  <c r="X13" i="32"/>
  <c r="X21" i="32"/>
  <c r="Z29" i="32"/>
  <c r="X29" i="32"/>
  <c r="Z28" i="32"/>
  <c r="X28" i="32"/>
  <c r="X27" i="32"/>
  <c r="X30" i="32"/>
  <c r="AB22" i="32" l="1"/>
  <c r="AC22" i="32"/>
  <c r="AA22" i="32" s="1"/>
  <c r="AB28" i="32"/>
  <c r="AC28" i="32"/>
  <c r="AB12" i="32"/>
  <c r="AA12" i="32"/>
  <c r="AB19" i="32"/>
  <c r="AB11" i="32"/>
  <c r="AC11" i="32"/>
  <c r="AB23" i="32"/>
  <c r="AC23" i="32"/>
  <c r="AB13" i="32"/>
  <c r="AC13" i="32"/>
  <c r="AB29" i="32"/>
  <c r="AC29" i="32"/>
  <c r="AA17" i="32"/>
  <c r="AA18" i="32"/>
  <c r="AA20" i="32"/>
  <c r="AA15" i="32"/>
  <c r="AA16" i="32"/>
  <c r="AA14" i="32"/>
  <c r="AA25" i="32"/>
  <c r="AA24" i="32"/>
  <c r="AA26" i="32"/>
  <c r="AA21" i="32"/>
  <c r="AA27" i="32"/>
  <c r="AA30" i="32"/>
  <c r="AA11" i="32" l="1"/>
  <c r="AA23" i="32"/>
  <c r="AA13" i="32"/>
  <c r="AA19" i="32"/>
  <c r="AA29" i="32"/>
  <c r="AA28" i="32"/>
  <c r="R61" i="32" l="1"/>
  <c r="R60" i="32"/>
  <c r="R59" i="32"/>
  <c r="R58" i="32"/>
  <c r="R57" i="32"/>
  <c r="R56" i="32"/>
  <c r="R55" i="32"/>
  <c r="R54" i="32"/>
  <c r="R53" i="32"/>
  <c r="R52" i="32"/>
  <c r="R51" i="32"/>
  <c r="R50" i="32"/>
  <c r="R49" i="32"/>
  <c r="R48" i="32"/>
  <c r="R47" i="32"/>
  <c r="R43" i="32"/>
  <c r="R42" i="32"/>
  <c r="R41" i="32"/>
  <c r="R40" i="32"/>
  <c r="R39" i="32"/>
  <c r="R38" i="32"/>
  <c r="R37" i="32"/>
  <c r="R36" i="32"/>
  <c r="X31" i="32" l="1"/>
  <c r="AC31" i="32" s="1"/>
  <c r="T17" i="36" l="1"/>
  <c r="E17" i="36"/>
  <c r="D17" i="19"/>
  <c r="D25" i="19"/>
  <c r="AF25" i="19"/>
  <c r="Z25" i="19"/>
  <c r="AD25" i="19"/>
  <c r="AD27" i="19"/>
  <c r="AD26" i="19"/>
  <c r="AJ25" i="19"/>
  <c r="AI25" i="19"/>
  <c r="AJ17" i="19"/>
  <c r="Z22" i="19" l="1"/>
  <c r="AF22" i="19"/>
  <c r="AD22" i="19" s="1"/>
  <c r="AF19" i="19"/>
  <c r="AF18" i="19" s="1"/>
  <c r="AF17" i="19" s="1"/>
  <c r="AD17" i="19" s="1"/>
  <c r="D22" i="19"/>
  <c r="AD23" i="19"/>
  <c r="AD20" i="19"/>
  <c r="AA45" i="36"/>
  <c r="V45" i="36"/>
  <c r="AC45" i="36" s="1"/>
  <c r="AA42" i="36"/>
  <c r="V42" i="36"/>
  <c r="AC42" i="36" s="1"/>
  <c r="AA41" i="36"/>
  <c r="V41" i="36"/>
  <c r="AA40" i="36"/>
  <c r="V40" i="36"/>
  <c r="AC40" i="36" s="1"/>
  <c r="AH39" i="36"/>
  <c r="AJ39" i="36" s="1"/>
  <c r="AA39" i="36"/>
  <c r="T39" i="36"/>
  <c r="V39" i="36" s="1"/>
  <c r="T44" i="36"/>
  <c r="V44" i="36" s="1"/>
  <c r="AH44" i="36"/>
  <c r="AJ44" i="36" s="1"/>
  <c r="AA48" i="36"/>
  <c r="V48" i="36"/>
  <c r="AA47" i="36"/>
  <c r="V47" i="36"/>
  <c r="AC47" i="36" s="1"/>
  <c r="AA46" i="36"/>
  <c r="V46" i="36"/>
  <c r="AA44" i="36"/>
  <c r="AA36" i="36"/>
  <c r="V36" i="36"/>
  <c r="T29" i="36"/>
  <c r="V17" i="36"/>
  <c r="V28" i="36" s="1"/>
  <c r="AA17" i="36"/>
  <c r="AH17" i="36"/>
  <c r="AJ17" i="36" s="1"/>
  <c r="V18" i="36"/>
  <c r="AA18" i="36"/>
  <c r="V19" i="36"/>
  <c r="AA19" i="36"/>
  <c r="V20" i="36"/>
  <c r="AA20" i="36"/>
  <c r="V21" i="36"/>
  <c r="AA21" i="36"/>
  <c r="V22" i="36"/>
  <c r="AA22" i="36"/>
  <c r="AC22" i="36"/>
  <c r="V23" i="36"/>
  <c r="AA23" i="36"/>
  <c r="V24" i="36"/>
  <c r="AA24" i="36"/>
  <c r="V25" i="36"/>
  <c r="AA25" i="36"/>
  <c r="V26" i="36"/>
  <c r="AA26" i="36"/>
  <c r="V27" i="36"/>
  <c r="AA27" i="36"/>
  <c r="D18" i="19"/>
  <c r="D19" i="19"/>
  <c r="AL19" i="19"/>
  <c r="AK19" i="19"/>
  <c r="AM19" i="19"/>
  <c r="AE22" i="19"/>
  <c r="Z19" i="19"/>
  <c r="Z18" i="19" s="1"/>
  <c r="Z17" i="19" s="1"/>
  <c r="AD24" i="19"/>
  <c r="AD36" i="19"/>
  <c r="T32" i="37"/>
  <c r="AA21" i="37"/>
  <c r="V21" i="37"/>
  <c r="AA20" i="37"/>
  <c r="V20" i="37"/>
  <c r="AA23" i="37"/>
  <c r="AD17" i="37" s="1"/>
  <c r="AL17" i="37" s="1"/>
  <c r="V23" i="37"/>
  <c r="AA22" i="37"/>
  <c r="V22" i="37"/>
  <c r="AA19" i="37"/>
  <c r="V19" i="37"/>
  <c r="AA18" i="37"/>
  <c r="V18" i="37"/>
  <c r="AC18" i="37" s="1"/>
  <c r="AI17" i="37"/>
  <c r="AJ17" i="37" s="1"/>
  <c r="AA17" i="37"/>
  <c r="T17" i="37"/>
  <c r="V17" i="37" s="1"/>
  <c r="AA29" i="37"/>
  <c r="V29" i="37"/>
  <c r="V26" i="37"/>
  <c r="AA26" i="37"/>
  <c r="V31" i="36"/>
  <c r="AC31" i="36" s="1"/>
  <c r="AA31" i="36"/>
  <c r="AC24" i="36" l="1"/>
  <c r="AC19" i="36"/>
  <c r="AC23" i="36"/>
  <c r="AC26" i="37"/>
  <c r="AC26" i="36"/>
  <c r="AC19" i="37"/>
  <c r="AC48" i="36"/>
  <c r="AC20" i="36"/>
  <c r="AC22" i="37"/>
  <c r="AC17" i="36"/>
  <c r="AC28" i="36" s="1"/>
  <c r="AD17" i="36" s="1"/>
  <c r="AM17" i="36" s="1"/>
  <c r="AC36" i="36"/>
  <c r="AC27" i="36"/>
  <c r="AC20" i="37"/>
  <c r="AC18" i="36"/>
  <c r="AC21" i="37"/>
  <c r="AC21" i="36"/>
  <c r="AC25" i="36"/>
  <c r="AD19" i="19"/>
  <c r="AC29" i="37"/>
  <c r="AC23" i="37"/>
  <c r="AC46" i="36"/>
  <c r="AC41" i="36"/>
  <c r="AL17" i="36"/>
  <c r="AK17" i="36" s="1"/>
  <c r="AK17" i="19"/>
  <c r="AK25" i="19"/>
  <c r="AD18" i="19"/>
  <c r="V43" i="36"/>
  <c r="AC39" i="36"/>
  <c r="V49" i="36"/>
  <c r="AC44" i="36"/>
  <c r="V24" i="37"/>
  <c r="AC17" i="37"/>
  <c r="AN17" i="36" l="1"/>
  <c r="AC24" i="37"/>
  <c r="AE17" i="37" s="1"/>
  <c r="AM17" i="37" s="1"/>
  <c r="AK17" i="37" s="1"/>
  <c r="AC49" i="36"/>
  <c r="AD44" i="36" s="1"/>
  <c r="AL44" i="36" s="1"/>
  <c r="AC43" i="36"/>
  <c r="AD39" i="36"/>
  <c r="AL39" i="36" s="1"/>
  <c r="AN39" i="36"/>
  <c r="AM39" i="36"/>
  <c r="AN44" i="36"/>
  <c r="AM44" i="36"/>
  <c r="AA37" i="36"/>
  <c r="V37" i="36"/>
  <c r="AA35" i="36"/>
  <c r="V35" i="36"/>
  <c r="AA34" i="36"/>
  <c r="V34" i="36"/>
  <c r="AA33" i="36"/>
  <c r="V33" i="36"/>
  <c r="AA32" i="36"/>
  <c r="V32" i="36"/>
  <c r="AA30" i="36"/>
  <c r="V30" i="36"/>
  <c r="AH29" i="36"/>
  <c r="AJ29" i="36" s="1"/>
  <c r="AA29" i="36"/>
  <c r="V29" i="36"/>
  <c r="AK44" i="36" l="1"/>
  <c r="AK39" i="36"/>
  <c r="AC30" i="36"/>
  <c r="AC33" i="36"/>
  <c r="AC34" i="36"/>
  <c r="AC35" i="36"/>
  <c r="AC37" i="36"/>
  <c r="AC32" i="36"/>
  <c r="V38" i="36"/>
  <c r="AC29" i="36"/>
  <c r="AC38" i="36" l="1"/>
  <c r="AD29" i="36" s="1"/>
  <c r="AL29" i="36" s="1"/>
  <c r="AN29" i="36" l="1"/>
  <c r="AM29" i="36"/>
  <c r="AK29" i="36" l="1"/>
  <c r="AA22" i="38" l="1"/>
  <c r="V22" i="38"/>
  <c r="AC22" i="38" s="1"/>
  <c r="AA21" i="38"/>
  <c r="V21" i="38"/>
  <c r="AC21" i="38" s="1"/>
  <c r="AA20" i="38"/>
  <c r="V20" i="38"/>
  <c r="AC20" i="38" s="1"/>
  <c r="AA19" i="38"/>
  <c r="V19" i="38"/>
  <c r="AC19" i="38" s="1"/>
  <c r="AA18" i="38"/>
  <c r="V18" i="38"/>
  <c r="AA17" i="38"/>
  <c r="V17" i="38"/>
  <c r="AC17" i="38" s="1"/>
  <c r="AA16" i="38"/>
  <c r="T16" i="38"/>
  <c r="V16" i="38" s="1"/>
  <c r="AC16" i="38" s="1"/>
  <c r="E16" i="38"/>
  <c r="AH16" i="38" s="1"/>
  <c r="AJ16" i="38" s="1"/>
  <c r="AA35" i="37"/>
  <c r="AD32" i="37" s="1"/>
  <c r="V35" i="37"/>
  <c r="AA33" i="37"/>
  <c r="V33" i="37"/>
  <c r="AC33" i="37" s="1"/>
  <c r="AA28" i="37"/>
  <c r="V28" i="37"/>
  <c r="AA30" i="37"/>
  <c r="AD25" i="37" s="1"/>
  <c r="AL25" i="37" s="1"/>
  <c r="V30" i="37"/>
  <c r="AA27" i="37"/>
  <c r="V27" i="37"/>
  <c r="AI25" i="37"/>
  <c r="AJ25" i="37" s="1"/>
  <c r="AA25" i="37"/>
  <c r="T25" i="37"/>
  <c r="V25" i="37" s="1"/>
  <c r="AD35" i="19"/>
  <c r="AD21" i="19"/>
  <c r="AI17" i="19" s="1"/>
  <c r="AA34" i="37"/>
  <c r="V34" i="37"/>
  <c r="AA54" i="37"/>
  <c r="AD51" i="37"/>
  <c r="AL51" i="37" s="1"/>
  <c r="V54" i="37"/>
  <c r="AA53" i="37"/>
  <c r="V53" i="37"/>
  <c r="AA52" i="37"/>
  <c r="V52" i="37"/>
  <c r="AI51" i="37"/>
  <c r="AJ51" i="37" s="1"/>
  <c r="AA51" i="37"/>
  <c r="T51" i="37"/>
  <c r="V51" i="37" s="1"/>
  <c r="AL32" i="37"/>
  <c r="AI32" i="37"/>
  <c r="AJ32" i="37" s="1"/>
  <c r="AA32" i="37"/>
  <c r="V32" i="37"/>
  <c r="AM16" i="37"/>
  <c r="AL16" i="37"/>
  <c r="AK16" i="37"/>
  <c r="D16" i="37"/>
  <c r="D16" i="36"/>
  <c r="AI27" i="34"/>
  <c r="AD27" i="34"/>
  <c r="AC27" i="34"/>
  <c r="AE63" i="34"/>
  <c r="AE62" i="34"/>
  <c r="AE61" i="34"/>
  <c r="AE60" i="34"/>
  <c r="AE59" i="34"/>
  <c r="AE58" i="34"/>
  <c r="AE57" i="34"/>
  <c r="AE56" i="34"/>
  <c r="AE55" i="34"/>
  <c r="AE54" i="34"/>
  <c r="AE53" i="34"/>
  <c r="AE52" i="34"/>
  <c r="AE51" i="34"/>
  <c r="AE50" i="34"/>
  <c r="AE49" i="34"/>
  <c r="AE48" i="34"/>
  <c r="AE47" i="34"/>
  <c r="AE46" i="34"/>
  <c r="AE45" i="34"/>
  <c r="AE44" i="34"/>
  <c r="AE43" i="34"/>
  <c r="AE42" i="34"/>
  <c r="AE41" i="34"/>
  <c r="AE40" i="34"/>
  <c r="AE39" i="34"/>
  <c r="AE38" i="34"/>
  <c r="AE37" i="34"/>
  <c r="AE36" i="34"/>
  <c r="AE35" i="34"/>
  <c r="AE34" i="34"/>
  <c r="AE33" i="34"/>
  <c r="AE32" i="34"/>
  <c r="AE31" i="34"/>
  <c r="AE30" i="34"/>
  <c r="AE29" i="34"/>
  <c r="AE28" i="34"/>
  <c r="AE24" i="34"/>
  <c r="AE23" i="34"/>
  <c r="AE21" i="34"/>
  <c r="AE20" i="34"/>
  <c r="AA74" i="34"/>
  <c r="Y74" i="34"/>
  <c r="D74" i="34"/>
  <c r="E67" i="34" s="1"/>
  <c r="AE67" i="34"/>
  <c r="AC67" i="34"/>
  <c r="E27" i="34"/>
  <c r="AE19" i="34"/>
  <c r="AH18" i="34"/>
  <c r="AD18" i="34"/>
  <c r="AC18" i="34"/>
  <c r="E18" i="34"/>
  <c r="E17" i="34"/>
  <c r="C11" i="4"/>
  <c r="AH11" i="4" s="1"/>
  <c r="Q11" i="4"/>
  <c r="R11" i="4"/>
  <c r="T11" i="4" s="1"/>
  <c r="Y11" i="4"/>
  <c r="T12" i="4"/>
  <c r="Y12" i="4"/>
  <c r="T13" i="4"/>
  <c r="Y13" i="4"/>
  <c r="T14" i="4"/>
  <c r="Y14" i="4"/>
  <c r="T15" i="4"/>
  <c r="Y15" i="4"/>
  <c r="AB11" i="4" s="1"/>
  <c r="Q12" i="2"/>
  <c r="Q13" i="2" s="1"/>
  <c r="R12" i="2"/>
  <c r="T12" i="2" s="1"/>
  <c r="Y12" i="2"/>
  <c r="AG12" i="2"/>
  <c r="AH12" i="2"/>
  <c r="AI12" i="2"/>
  <c r="P13" i="2"/>
  <c r="T13" i="2"/>
  <c r="Y13" i="2"/>
  <c r="T14" i="2"/>
  <c r="AA14" i="2" s="1"/>
  <c r="Y14" i="2"/>
  <c r="T15" i="2"/>
  <c r="Y15" i="2"/>
  <c r="T16" i="2"/>
  <c r="Y16" i="2"/>
  <c r="T17" i="2"/>
  <c r="Y17" i="2"/>
  <c r="AB12" i="2" s="1"/>
  <c r="AK12" i="2" s="1"/>
  <c r="W28" i="16"/>
  <c r="W40" i="16"/>
  <c r="X40" i="16"/>
  <c r="Y40" i="16"/>
  <c r="Z40" i="16"/>
  <c r="D116" i="32"/>
  <c r="S116" i="32" s="1"/>
  <c r="X116" i="32" s="1"/>
  <c r="O116" i="32"/>
  <c r="AD116" i="32" s="1"/>
  <c r="AM16" i="36"/>
  <c r="AN16" i="36"/>
  <c r="AL16" i="36"/>
  <c r="AK16" i="36"/>
  <c r="AC32" i="37"/>
  <c r="AK18" i="19"/>
  <c r="AJ18" i="19"/>
  <c r="AJ16" i="19" s="1"/>
  <c r="AI19" i="19"/>
  <c r="AC25" i="37" l="1"/>
  <c r="AJ12" i="2"/>
  <c r="AA14" i="4"/>
  <c r="AC17" i="34"/>
  <c r="AC74" i="34" s="1"/>
  <c r="AC91" i="34" s="1"/>
  <c r="AC53" i="37"/>
  <c r="AC18" i="38"/>
  <c r="AA13" i="4"/>
  <c r="AA12" i="2"/>
  <c r="AA15" i="2"/>
  <c r="AC52" i="37"/>
  <c r="AC30" i="37"/>
  <c r="AA13" i="2"/>
  <c r="AC28" i="37"/>
  <c r="V55" i="37"/>
  <c r="AC51" i="37"/>
  <c r="AL11" i="4"/>
  <c r="AN11" i="4"/>
  <c r="AA12" i="4"/>
  <c r="AC34" i="37"/>
  <c r="AC27" i="37"/>
  <c r="AA17" i="2"/>
  <c r="AC23" i="38"/>
  <c r="AC54" i="37"/>
  <c r="AA16" i="2"/>
  <c r="T16" i="4"/>
  <c r="AA15" i="4"/>
  <c r="V23" i="38"/>
  <c r="AC35" i="37"/>
  <c r="AD17" i="34"/>
  <c r="AD74" i="34" s="1"/>
  <c r="AF11" i="4"/>
  <c r="V31" i="37"/>
  <c r="V36" i="37"/>
  <c r="AG11" i="4"/>
  <c r="AE27" i="34"/>
  <c r="AE18" i="34"/>
  <c r="AA11" i="4"/>
  <c r="AC116" i="32"/>
  <c r="AE116" i="32"/>
  <c r="T18" i="2"/>
  <c r="AI18" i="19"/>
  <c r="AI15" i="19" s="1"/>
  <c r="AA18" i="2" l="1"/>
  <c r="AC12" i="2" s="1"/>
  <c r="AL12" i="2" s="1"/>
  <c r="AM12" i="2" s="1"/>
  <c r="AC55" i="37"/>
  <c r="AE51" i="37" s="1"/>
  <c r="AM51" i="37" s="1"/>
  <c r="AK51" i="37" s="1"/>
  <c r="AC31" i="37"/>
  <c r="AE17" i="34"/>
  <c r="AE74" i="34" s="1"/>
  <c r="AC36" i="37"/>
  <c r="AD16" i="38"/>
  <c r="AA16" i="4"/>
  <c r="AC11" i="4" s="1"/>
  <c r="AO11" i="4" s="1"/>
  <c r="AK11" i="4" s="1"/>
  <c r="AM16" i="38"/>
  <c r="AL16" i="38"/>
  <c r="AN16" i="38"/>
  <c r="AE32" i="37"/>
  <c r="AM32" i="37" s="1"/>
  <c r="AK32" i="37" s="1"/>
  <c r="AI11" i="4"/>
  <c r="AE25" i="37"/>
  <c r="AM25" i="37" s="1"/>
  <c r="AK25" i="37" s="1"/>
  <c r="AA116" i="32"/>
  <c r="AK16" i="38" l="1"/>
</calcChain>
</file>

<file path=xl/sharedStrings.xml><?xml version="1.0" encoding="utf-8"?>
<sst xmlns="http://schemas.openxmlformats.org/spreadsheetml/2006/main" count="1847" uniqueCount="841">
  <si>
    <t>(Ban hành kèm theo Thông tư liên tịch số 01/2015/TTLT-BNV-BTC ngày 14/4/2015 của Bộ Nội vụ và Bộ Tài chính)</t>
  </si>
  <si>
    <t>BỘ, NGÀNH HOẶC TỈNH, THÀNH PHỐ TRỰC THUỘC TRUNG ƯƠNG:</t>
  </si>
  <si>
    <t>Từ ngày .... tháng .... năm .... đến ngày .... tháng .... năm ....</t>
  </si>
  <si>
    <t>TT</t>
  </si>
  <si>
    <t>Họ và tên</t>
  </si>
  <si>
    <t>Ngày tháng năm sinh</t>
  </si>
  <si>
    <t>Trình độ đào tạo</t>
  </si>
  <si>
    <t>Chức danh chuyên môn đang đảm nhiệm</t>
  </si>
  <si>
    <t>Tiền lương theo ngạch, bậc, chức danh, chức vụ hiện hưởng</t>
  </si>
  <si>
    <t>Phụ cấp chức vụ (nếu có)</t>
  </si>
  <si>
    <t>Phụ cấp thâm niên nghề (nếu có)</t>
  </si>
  <si>
    <t>Phụ cấp thâm niên vượt khung (nếu có)</t>
  </si>
  <si>
    <t>Hệ số chênh lệch bảo lưu (nếu có)</t>
  </si>
  <si>
    <t>Lương ngạch, bậc trước liền kề</t>
  </si>
  <si>
    <t>Số năm đóng BHXH theo sổ BHXH</t>
  </si>
  <si>
    <t>Thời điểm tinh giản biên chế</t>
  </si>
  <si>
    <t>Tuổi khi giải quyết tinh giản biên chế</t>
  </si>
  <si>
    <t>Lý do tinh giản</t>
  </si>
  <si>
    <t>Hệ số lương</t>
  </si>
  <si>
    <t>Thời điểm hưởng</t>
  </si>
  <si>
    <t>Hệ số</t>
  </si>
  <si>
    <t>Mức phụ cấp</t>
  </si>
  <si>
    <t>Tổng số</t>
  </si>
  <si>
    <t>Số năm làm công việc nặng nhọc, độc hại hoặc có phụ cấp khu vực hệ số 0,7 trở lên</t>
  </si>
  <si>
    <t>Tổng cộng</t>
  </si>
  <si>
    <t>Trợ cấp tính cho thời gian nghỉ hưu trước tuổi</t>
  </si>
  <si>
    <t>Trợ cấp do có đủ 20 năm đóng BHXH</t>
  </si>
  <si>
    <t>Trợ cấp do có trên 20 năm đóng BHXH</t>
  </si>
  <si>
    <t>A</t>
  </si>
  <si>
    <t>I.</t>
  </si>
  <si>
    <t>Khối hành chính</t>
  </si>
  <si>
    <t>…</t>
  </si>
  <si>
    <t>II.</t>
  </si>
  <si>
    <t>Khối sự nghiệp</t>
  </si>
  <si>
    <t>III.</t>
  </si>
  <si>
    <t>Khối doanh nghiệp</t>
  </si>
  <si>
    <t>IV.</t>
  </si>
  <si>
    <t>Các tổ chức hội</t>
  </si>
  <si>
    <t>TỔNG CỘNG</t>
  </si>
  <si>
    <t>Nơi nhận:</t>
  </si>
  <si>
    <t>- Bộ Nội vụ để thẩm tra;</t>
  </si>
  <si>
    <t>- Bộ Tài chính, để kiểm tra, tạm cấp kinh phí.</t>
  </si>
  <si>
    <t>Ghi chú:</t>
  </si>
  <si>
    <t>- Cột 14, 15 đề nghị liệt kê thêm hệ số lương và thời điểm hưởng của năm năm cuối trước khi tinh giản</t>
  </si>
  <si>
    <t>- Cột 16 = Trung bình cộng của 60 tháng tiền lương thực lĩnh trước khi tinh giản.</t>
  </si>
  <si>
    <t>- Cột 17: tính cả số tháng lẻ</t>
  </si>
  <si>
    <t>- Cột 21 = cột 22 + cột 23 + cột 24</t>
  </si>
  <si>
    <t>- Cột 22 = cột 16 x số tháng trợ cấp (tính theo số tháng, năm về hưu trước tuổi)</t>
  </si>
  <si>
    <t>- Cột 23 = cột 16 x 5 tháng</t>
  </si>
  <si>
    <t>- Cột 24 = (cột 17-20) x 1/2 x cột 16</t>
  </si>
  <si>
    <t>BIỂU SỐ 1b</t>
  </si>
  <si>
    <t>DANH SÁCH VÀ KINH PHÍ CHI TRẢ CHO NHỮNG NGƯỜI CHUYỂN SANG TỔ CHỨC KHÔNG HƯỞNG KINH PHÍ THƯỜNG XUYÊN TỪ NGÂN SÁCH ĐỢT ... NĂM ...</t>
  </si>
  <si>
    <r>
      <t>Từ ngày .... tháng .... năm .... đến ngày .... tháng .... năm ...</t>
    </r>
    <r>
      <rPr>
        <sz val="10"/>
        <color indexed="8"/>
        <rFont val="Arial"/>
        <family val="2"/>
      </rPr>
      <t>.</t>
    </r>
  </si>
  <si>
    <t>Tiền lương tháng hiện hưởng (1000 đồng)</t>
  </si>
  <si>
    <t>- Cột 17 = Trung bình cộng của 60 tháng tiền lương thực lĩnh trước khi tinh giản.</t>
  </si>
  <si>
    <t>- Cột 18: tính cả số tháng lẻ</t>
  </si>
  <si>
    <t>- Cột 22 = cột 16 x 3 tháng + 1/2 x cột 17 x cột 18</t>
  </si>
  <si>
    <t>Trợ cấp tìm việc</t>
  </si>
  <si>
    <t>Trợ cấp do đóng BHXH</t>
  </si>
  <si>
    <t>Cột 22 = cột 23 + cột 24</t>
  </si>
  <si>
    <t>- Cột 16 = (cột 4 + cột 6, 12 (nếu có)) x tiền lương tối thiểu chung + cột 8, cột 10 (nếu có)</t>
  </si>
  <si>
    <t>Cột 23 = cột 16 x 3 tháng</t>
  </si>
  <si>
    <t>Cột 24 = 1,5 x cột 18 x cột 17</t>
  </si>
  <si>
    <t>BIỂU SỐ 1d</t>
  </si>
  <si>
    <t>DANH SÁCH VÀ KINH PHÍ CHI TRẢ CHO NHỮNG NGƯỜI THÔI VIỆC SAU KHI ĐI HỌC ĐỢT .... NĂM ...</t>
  </si>
  <si>
    <t>Tiền lương được hưởng trong thời gian học nghề</t>
  </si>
  <si>
    <t>Chi phí học nghề</t>
  </si>
  <si>
    <t>Tiền đóng cho cơ quan BHXH trong thời gian học nghề</t>
  </si>
  <si>
    <t>- Cột 16 = (cột 4 + cột 6, 12 (nếu có)) x tiền lương tối thiểu + cột 8, 10 (nếu có)</t>
  </si>
  <si>
    <t>- Cột 23: chi phí cho khóa học nghề</t>
  </si>
  <si>
    <t>- Cột 17 = Trung bình cộng của 60 tháng lương tháng thực lĩnh trước khi tinh giản.</t>
  </si>
  <si>
    <t>- Cột 24 = cột 16 x 3 tháng - Cột 25 = 1/2 x cột 18 x cột 17</t>
  </si>
  <si>
    <t>- Cột 21 = cột 22 + cột 23 + cột 24 + cột 25 + cột 26</t>
  </si>
  <si>
    <t>- Cột 22 = cột 16 x số tháng học nghề</t>
  </si>
  <si>
    <t>- Cột 14, 15 đề nghị liệt kê thêm hệ số lương và thời điểm hưởng của năm năm cuối</t>
  </si>
  <si>
    <t>Tiền lương tháng để tính trợ cấp nghỉ hưu trước tuổi, do đóng bảo hiểm xã hội (1000 đồng)</t>
  </si>
  <si>
    <t>Được hưởng chính sách</t>
  </si>
  <si>
    <t>Tổng kinh phí để thực hiện chế độ</t>
  </si>
  <si>
    <t>Nghỉ hưu trước tuổi</t>
  </si>
  <si>
    <t>Chuyển sang làm việc ở các cơ sở không sử dụng kinh phí thường xuyên từ NSNN</t>
  </si>
  <si>
    <t>Thôi việc ngay</t>
  </si>
  <si>
    <t>Thôi việc sau khi đi học nghề</t>
  </si>
  <si>
    <t>- Cột 14, 15 đề nghị liệt kê thêm hệ số lương và thời điểm hưởng của năm năm cuối trước khi tinh giản.</t>
  </si>
  <si>
    <t>Diễn biến lương</t>
  </si>
  <si>
    <t>Từ</t>
  </si>
  <si>
    <t>Đến</t>
  </si>
  <si>
    <t>Số tháng</t>
  </si>
  <si>
    <t>PCCV</t>
  </si>
  <si>
    <t>LTT</t>
  </si>
  <si>
    <t>Tổng lương</t>
  </si>
  <si>
    <t>Tổng hệ số</t>
  </si>
  <si>
    <t>VK</t>
  </si>
  <si>
    <t>TNN</t>
  </si>
  <si>
    <t>Thời gian về hưu trước tuổi</t>
  </si>
  <si>
    <t>Trợ cấp 03 tháng tiền lương hiện hưởng</t>
  </si>
  <si>
    <t>Kinh phí để thực hiện tinh giản biên chế (đồng)</t>
  </si>
  <si>
    <t>Tổng kinh phí để thực hiện (đồng)</t>
  </si>
  <si>
    <t>Tiền lương tháng (nếu có) để tính trợ cấp (đồng)</t>
  </si>
  <si>
    <t>Tiền lương tháng hiện hưởng (đồng)</t>
  </si>
  <si>
    <t>Tiền lương tháng để tính trợ cấp do đóng BHXH (đồng)</t>
  </si>
  <si>
    <t>Nguyễn Văn Q</t>
  </si>
  <si>
    <t>Thời gian học nghề (tháng)</t>
  </si>
  <si>
    <t>Trợ cấp do đóng BHXH (1/2 tháng lương/1năm đóng BH)</t>
  </si>
  <si>
    <t>08n9t</t>
  </si>
  <si>
    <t>BIỂU SỐ 3</t>
  </si>
  <si>
    <t>BÁO CÁO KẾT QUẢ THỰC HIỆN CHÍNH SÁCH TINH GIẢN BIÊN CHẾ NĂM ...</t>
  </si>
  <si>
    <t>Tên cơ quan, đơn vị trực thuộc</t>
  </si>
  <si>
    <t>Số người được hưởng chính sách tinh giản biên chế năm ...</t>
  </si>
  <si>
    <t>Kinh phí chi cho tinh giản biên chế năm .... (1000 đồng)</t>
  </si>
  <si>
    <t>Chuyển sang các cơ sở</t>
  </si>
  <si>
    <t>Đi học để thôi việc</t>
  </si>
  <si>
    <t>Kinh phí chi cho người về hưu trước tuổi</t>
  </si>
  <si>
    <t>Kinh phí chi cho những người chuyển sang cơ sở không sử dụng kinh phí thường xuyên từ NSNN</t>
  </si>
  <si>
    <t>Kinh phí chi cho những người thôi việc ngay</t>
  </si>
  <si>
    <t>Kinh phí chi cho những người thôi việc sau khi đi học nghề</t>
  </si>
  <si>
    <t>- Bộ Nội vụ,</t>
  </si>
  <si>
    <t>- Bộ Tài chính để tổng hợp kết quả và quyết toán kinh phí tạm cấp.</t>
  </si>
  <si>
    <t>- Cột 1 = Cột 2 + cột 3 + cột 4 + cột 5;</t>
  </si>
  <si>
    <t>- Cột 6 = cột 7 + cột 8 + cột 9 + cột 10</t>
  </si>
  <si>
    <t>- Báo cáo theo định kỳ 31/12 các năm 2015, 2016, 2017, 2018, 2019, 2020, 2021.</t>
  </si>
  <si>
    <t>BIỂU SỐ 4</t>
  </si>
  <si>
    <t>TỔNG HỢP KẾT QUẢ GIẢI QUYẾT CHẾ ĐỘ NGHỈ HƯU ĐÚNG TUỔI VÀ THÔI VIỆC THEO QUY ĐỊNH CỦA PHÁP LUẬT NĂM ....</t>
  </si>
  <si>
    <t>Tên cơ quan, tổ chức</t>
  </si>
  <si>
    <t>Số người nghỉ hưu đúng tuổi và thôi việc theo quy định của pháp luật</t>
  </si>
  <si>
    <t>Số người nghỉ hưu đúng tuổi</t>
  </si>
  <si>
    <t>Số người thôi việc theo quy định của pháp luật</t>
  </si>
  <si>
    <t>...</t>
  </si>
  <si>
    <t>Tổng cộng:</t>
  </si>
  <si>
    <t>- Cột 1 = cột 2 + cột 3.</t>
  </si>
  <si>
    <t>BIỂU SỐ 5</t>
  </si>
  <si>
    <t>TỔNG HỢP CHUNG DANH SÁCH TINH GIẢN BIÊN CHẾ VÀ QUYẾT TOÁN KINH PHÍ THỰC HIỆN ĐỢT ... NĂM ...</t>
  </si>
  <si>
    <t>CHỦ TỊCH</t>
  </si>
  <si>
    <t>Đoàn Văn Việt</t>
  </si>
  <si>
    <t>Lâm Đồng, ngày     tháng    năm 201</t>
  </si>
  <si>
    <t>UỶ BAN NHÂN DÂN</t>
  </si>
  <si>
    <t>TỈNH LÂM ĐỒNG</t>
  </si>
  <si>
    <t xml:space="preserve"> - Bộ Nội vụ;</t>
  </si>
  <si>
    <t xml:space="preserve"> - Bộ Tài chính.</t>
  </si>
  <si>
    <t>Năm</t>
  </si>
  <si>
    <t>Tháng</t>
  </si>
  <si>
    <t>Ngày</t>
  </si>
  <si>
    <t>I</t>
  </si>
  <si>
    <t>Huyện Đạ Tẻh</t>
  </si>
  <si>
    <t>Nguyễn Quang Huy</t>
  </si>
  <si>
    <t>25n7t</t>
  </si>
  <si>
    <t>ĐH</t>
  </si>
  <si>
    <t>Trương Chí Dũng</t>
  </si>
  <si>
    <t>chưa đạt trình độ theo tiêu chuẩn</t>
  </si>
  <si>
    <t>Nguyễn Xuân Trường</t>
  </si>
  <si>
    <t>Tuổi về hưu</t>
  </si>
  <si>
    <t>Đỗ Sơn Hùng</t>
  </si>
  <si>
    <t>TC</t>
  </si>
  <si>
    <t>Phạm Sang</t>
  </si>
  <si>
    <t xml:space="preserve">công nhân </t>
  </si>
  <si>
    <t>37n1t</t>
  </si>
  <si>
    <t>II</t>
  </si>
  <si>
    <t>Vương Tất Đức</t>
  </si>
  <si>
    <t>Hồ Thị Ngọc Anh</t>
  </si>
  <si>
    <t>x</t>
  </si>
  <si>
    <t>32n9t</t>
  </si>
  <si>
    <t>30n7t</t>
  </si>
  <si>
    <t>SC</t>
  </si>
  <si>
    <t>Hưởng chế độ hưu trí và không trừ tỷ lệ lương hưu do nghỉ trước tuổi</t>
  </si>
  <si>
    <t>Nguyễn Cảnh Toàn</t>
  </si>
  <si>
    <t>37n2t</t>
  </si>
  <si>
    <t>Đinh Xuân Thiện</t>
  </si>
  <si>
    <t>20n</t>
  </si>
  <si>
    <t>Huỳnh Công Hùng</t>
  </si>
  <si>
    <t>Nguyễn Sỹ</t>
  </si>
  <si>
    <t>THPT</t>
  </si>
  <si>
    <t>26n4t</t>
  </si>
  <si>
    <t>Lê Hòa</t>
  </si>
  <si>
    <t>38n</t>
  </si>
  <si>
    <t>\</t>
  </si>
  <si>
    <t>Lê Thị Đoan Chinh</t>
  </si>
  <si>
    <t xml:space="preserve">Phụ cấp chức vụ 
</t>
  </si>
  <si>
    <t xml:space="preserve">Phụ cấp thâm niên nghề </t>
  </si>
  <si>
    <t xml:space="preserve">Phụ cấp thâm niên vượt khung </t>
  </si>
  <si>
    <t xml:space="preserve">Hệ số chênh lệch bảo lưu </t>
  </si>
  <si>
    <t xml:space="preserve">Phụ cấp chức vụ </t>
  </si>
  <si>
    <t>25n4t</t>
  </si>
  <si>
    <t xml:space="preserve">Trợ cấp do đóng BHXH </t>
  </si>
  <si>
    <t>Sơ cấp</t>
  </si>
  <si>
    <t>Phạm Thị Nga</t>
  </si>
  <si>
    <t>18n6t</t>
  </si>
  <si>
    <t>Lê Liên</t>
  </si>
  <si>
    <t>26n6t</t>
  </si>
  <si>
    <t>Nguyễn Quang Đạt</t>
  </si>
  <si>
    <t>36n10t</t>
  </si>
  <si>
    <t>Ngày để tính về hưu</t>
  </si>
  <si>
    <t>Lơ Mu Ha Than</t>
  </si>
  <si>
    <t>Cil Ha Chang</t>
  </si>
  <si>
    <t>20n11t</t>
  </si>
  <si>
    <t>27n11t</t>
  </si>
  <si>
    <t>26n11t</t>
  </si>
  <si>
    <t>Cil Ha Tang</t>
  </si>
  <si>
    <t>27n</t>
  </si>
  <si>
    <t>Kơ Să Ha Klas</t>
  </si>
  <si>
    <t>26n8t</t>
  </si>
  <si>
    <t>Yuk Rơ La Y Kanh</t>
  </si>
  <si>
    <t>CĐTH</t>
  </si>
  <si>
    <t>THSP</t>
  </si>
  <si>
    <t>10n8t</t>
  </si>
  <si>
    <t>5/12</t>
  </si>
  <si>
    <t>Liêng Hót Ha Vinh</t>
  </si>
  <si>
    <t>Lê Trọng Nhạc</t>
  </si>
  <si>
    <t>38n11t</t>
  </si>
  <si>
    <t>Phó Tổ trưởng Tổ Hội nhập KTQT - Sở Công thương</t>
  </si>
  <si>
    <t>Công chức văn hóa-xã hội xã Quảng Trị- Đạ Tẻh</t>
  </si>
  <si>
    <t>Phó CT HĐND xã Quốc Oai - Đạ Tẻh</t>
  </si>
  <si>
    <t>CC Tư pháp - Hộ tịch xã Ninh Gia - Đức Trọng</t>
  </si>
  <si>
    <t>Phó Trưởng phòng Công chứng số 3 - Sở Tư pháp</t>
  </si>
  <si>
    <t>Phó Giám đốc Trung tâm QL&amp;KT CTCC - Cát Tiên</t>
  </si>
  <si>
    <t>Kế toán Trường TH Suối Thông - Đơn Dương</t>
  </si>
  <si>
    <t>Nhân viên Trung tâm VH TT - Đức Trọng</t>
  </si>
  <si>
    <t>Nhân viên Đài PTTH - Đức Trọng</t>
  </si>
  <si>
    <t>viên chức Trung tâm VH TT - Đức Trọng</t>
  </si>
  <si>
    <t>giáo viên trường TH Đạ Tông - Đam Rông</t>
  </si>
  <si>
    <t>CC Văn hóa - XH xã Đa Long - Đam Rông</t>
  </si>
  <si>
    <t>20n7t</t>
  </si>
  <si>
    <t>28n5t</t>
  </si>
  <si>
    <t>22n10t</t>
  </si>
  <si>
    <t>35n6t</t>
  </si>
  <si>
    <t>33n9t</t>
  </si>
  <si>
    <t>Phó Trưởng phòng Tổng hợp Ban Thi đua KT-Sở Nội vụ</t>
  </si>
  <si>
    <t>CC Tư pháp - Hộ tịch xã Tân Hội - Đức Trọng</t>
  </si>
  <si>
    <t>Trưởng CA xã Hiệp Thạnh - Đức Trọng</t>
  </si>
  <si>
    <t>CT HĐND xã RôMen - Đam Rông</t>
  </si>
  <si>
    <t>Công chức Ban QL Khu CN TT - Sở Thông tin &amp;TT</t>
  </si>
  <si>
    <t>Nhân viên Đải PTTH - Đức Trọng</t>
  </si>
  <si>
    <t>Giáo viên Trường TH Suối Thông - Đơn Dương</t>
  </si>
  <si>
    <t>01/01/2010 đến 30/04/2011</t>
  </si>
  <si>
    <t>UBND TỈNH LÂM ĐỒNG</t>
  </si>
  <si>
    <t>SỞ NỘI VỤ</t>
  </si>
  <si>
    <t>DANH SÁCH VÀ KINH PHÍ CHI TRẢ CHO NHỮNG NGƯỜI NGHỈ HƯU TRƯỚC TUỔI NĂM 2015</t>
  </si>
  <si>
    <t>Từ ngày 01 tháng 09 năm 2015 đến ngày 01 tháng 12 năm 2015</t>
  </si>
  <si>
    <t>DANH SÁCH VÀ KINH PHÍ CHI TRẢ CHO NHỮNG NGƯỜI THÔI VIỆC NGAY NĂM 2015</t>
  </si>
  <si>
    <t>Biểu 1a</t>
  </si>
  <si>
    <t>Biểu 1c</t>
  </si>
  <si>
    <t>năm 2013, 2014 hoàn thành nhiệm vụ nhưng còn hạn chế về năng lực</t>
  </si>
  <si>
    <t>năm 2013 hoàn thành nhiệm vụ, 2014 không hoàn thành nhiệm vụ</t>
  </si>
  <si>
    <t>lái xe</t>
  </si>
  <si>
    <t>Tiền lương tháng để tính trợ cấp nghỉ hưu trước tuổi, do đóng bảo hiểm xã hội (đồng)</t>
  </si>
  <si>
    <t>56t1th</t>
  </si>
  <si>
    <t>52t8th</t>
  </si>
  <si>
    <t>50t6th</t>
  </si>
  <si>
    <t>55t3th</t>
  </si>
  <si>
    <t>55t8th</t>
  </si>
  <si>
    <t>58t0th</t>
  </si>
  <si>
    <t>45t1th</t>
  </si>
  <si>
    <t>51t11th</t>
  </si>
  <si>
    <t>54t10th</t>
  </si>
  <si>
    <t>47t10th</t>
  </si>
  <si>
    <t>48t10th</t>
  </si>
  <si>
    <t>55t4th</t>
  </si>
  <si>
    <t>57t10th</t>
  </si>
  <si>
    <t>52t10th</t>
  </si>
  <si>
    <t>55t0th</t>
  </si>
  <si>
    <t>58t9th</t>
  </si>
  <si>
    <t>57t0th</t>
  </si>
  <si>
    <t>58t4th</t>
  </si>
  <si>
    <t>51t4th</t>
  </si>
  <si>
    <t>50t5th</t>
  </si>
  <si>
    <t>46t4th</t>
  </si>
  <si>
    <t>39t10th</t>
  </si>
  <si>
    <t>4,65
4,32</t>
  </si>
  <si>
    <t>01/06/2012
01/06/2009</t>
  </si>
  <si>
    <t>3,46
3,26
3,06</t>
  </si>
  <si>
    <t>01/12/2012
01/12/2010
01/01/2010</t>
  </si>
  <si>
    <t>5%
6%
7%
8%</t>
  </si>
  <si>
    <t>0,2
0,5</t>
  </si>
  <si>
    <t>01/10/2004
01/01/2011</t>
  </si>
  <si>
    <t>01/01/2011
01/01/2012
01/01/2013
01/01/2014
01/07/2015</t>
  </si>
  <si>
    <t>5%
6%
7%
8%
9%</t>
  </si>
  <si>
    <t>01/06/2012
01/06/2013
01/06/2014
01/06/2015</t>
  </si>
  <si>
    <t>0,2
đến
0,2
đến
0,2
đến</t>
  </si>
  <si>
    <t>01/08/2009
31/05/2010
01/08/2010
31/05/2011
01/08/2011
31/05/2012</t>
  </si>
  <si>
    <t>5%
6%
7%
8%
9%
10%</t>
  </si>
  <si>
    <t>01/01/2010
01/01/2011
01/01/2012
01/01/2013
01/01/2014
01/01/2015</t>
  </si>
  <si>
    <t>10%
11%
12%
13%
14%
15%</t>
  </si>
  <si>
    <t>01/01/2010
01/01/2011
01/01/2012
01/01/2013
01/01/2014
01/07/2015</t>
  </si>
  <si>
    <t>23%
24%
25%
26%
27%</t>
  </si>
  <si>
    <t>01/05/2011
01/05/2012
01/05/2013
01/05/2014
01/05/2015</t>
  </si>
  <si>
    <t>3,86
3,66</t>
  </si>
  <si>
    <t>3,86
3,66
3,46</t>
  </si>
  <si>
    <t>01/03/2013
01/03/2011
01/03/2009</t>
  </si>
  <si>
    <t>22%
23%
24%
25%
26%</t>
  </si>
  <si>
    <t>01/12/2011
01/12/2008</t>
  </si>
  <si>
    <t>01/01/2013
01/01/2011
01/01/2010</t>
  </si>
  <si>
    <t>5,08
4,74</t>
  </si>
  <si>
    <t>01/01/2013
01/01/2010</t>
  </si>
  <si>
    <t>1,89
1,71
1,18</t>
  </si>
  <si>
    <t>01/09/2012
01/05/2011
01/01/2010</t>
  </si>
  <si>
    <t>1,89
1,71</t>
  </si>
  <si>
    <t>01/07/2011
01/05/2009</t>
  </si>
  <si>
    <t>3,45
3,27</t>
  </si>
  <si>
    <t>01/06/2011
01/06/2009</t>
  </si>
  <si>
    <t>14%
15%
16%
17%
18%</t>
  </si>
  <si>
    <t>Nguyễn Thị Tuyết Sương</t>
  </si>
  <si>
    <t>01/09/2010
01/09/2011
01/09/2012
01/09/2013
01/09/2014</t>
  </si>
  <si>
    <t xml:space="preserve">5%
6%
7%
8%
9% </t>
  </si>
  <si>
    <t>33n6t</t>
  </si>
  <si>
    <t>Trương Văn Thủy</t>
  </si>
  <si>
    <t>34n2t</t>
  </si>
  <si>
    <t>Phạm Kim Thu</t>
  </si>
  <si>
    <t>Văn thư-Ban Dân vận Tỉnh ủy</t>
  </si>
  <si>
    <t>BT UBND xã Tư Nghĩa-Cát Tiên</t>
  </si>
  <si>
    <t>Nhân viên văn thư-UBMTTQ huyện Cát Tiên</t>
  </si>
  <si>
    <t>3,66
3,46
3,26</t>
  </si>
  <si>
    <t>24n9t</t>
  </si>
  <si>
    <t>Nguyễn Huy Quân</t>
  </si>
  <si>
    <t>CB UBMTTQ huyện Cát Tiên</t>
  </si>
  <si>
    <t>35n7t</t>
  </si>
  <si>
    <t>01/01/2010
31/10/2013
01/11/2013
30/04/2014</t>
  </si>
  <si>
    <t>0,3 đến
0,2
đến</t>
  </si>
  <si>
    <t>Võ Đệ</t>
  </si>
  <si>
    <t>Lái xe-Ban Tổ chức Tỉnh ủy</t>
  </si>
  <si>
    <t xml:space="preserve">17%
18%
19%
20%
21%
22% </t>
  </si>
  <si>
    <t>40n5t</t>
  </si>
  <si>
    <t>năm học 2013-2014 hoàn thành nhiệm vụ, 2014-2015 năm không hoàn thành nhiệm vụ</t>
  </si>
  <si>
    <t>Cil Múp Ha Nguyên</t>
  </si>
  <si>
    <t>CT HND xã Đạ M'rông - Đam Rông</t>
  </si>
  <si>
    <t>09n11t</t>
  </si>
  <si>
    <t>CT HND xã Đạ Tông - Đam Rông</t>
  </si>
  <si>
    <t>năm học 2013-2014 hoàn thành nhiệm vụ, 2014-2015 không hoàn thành nhiệm vụ</t>
  </si>
  <si>
    <t>46t1th</t>
  </si>
  <si>
    <t>- Bộ Tài chính để kiểm tra, tạm cấp kinh phí.</t>
  </si>
  <si>
    <t>Biểu 2</t>
  </si>
  <si>
    <t>ỦY BAN NHÂN DÂN</t>
  </si>
  <si>
    <t>Lê Tửu</t>
  </si>
  <si>
    <t>Phó Trưởng Ban Dân vận-Huyện ủy Đức Trọng</t>
  </si>
  <si>
    <t>01/06/2010
01/06/2011
01/06/2012
01/06/2013
01/06/2014
01/06/2015</t>
  </si>
  <si>
    <t>5%
6%
7%
8%
9%
10/%</t>
  </si>
  <si>
    <t>Phan Hữu Hiền</t>
  </si>
  <si>
    <t>Cán bộ Trung tâm Bồi dưỡng chính trị huyện Đức Trọng</t>
  </si>
  <si>
    <t>12%
13%
14%
15%
16%
17%</t>
  </si>
  <si>
    <t>37n4t</t>
  </si>
  <si>
    <t>Trần Văn Quang</t>
  </si>
  <si>
    <t>Cán bộ UBMTTQ huyện Đức Trọng</t>
  </si>
  <si>
    <t>01/11/2010
01/11/2011
01/11/2012
01/11/2013
01/11/2014
01/11/2015</t>
  </si>
  <si>
    <t>6%
7%
8%
9%
10/%
11%</t>
  </si>
  <si>
    <t>27n1t</t>
  </si>
  <si>
    <t>Hồ Thị Hồng</t>
  </si>
  <si>
    <t>Chuyên viên Hội Liên hiệp Phụ nữ huyện Đức Trọng</t>
  </si>
  <si>
    <t>01/12/2009
01/12/2010
01/12/2011
01/12/2012
01/12/2013
01/12/2014</t>
  </si>
  <si>
    <t>31n</t>
  </si>
  <si>
    <t>Lê Thị Tuyết Lan</t>
  </si>
  <si>
    <t>Cán bộ Văn thư - Lưu trữ Ban Tuyên giáo</t>
  </si>
  <si>
    <t>01/04/2010
01/04/2011
01/04/2012
01/04/2013
01/04/2014
01/04/2015</t>
  </si>
  <si>
    <t>18%
19%
20%
21%
22%
23%</t>
  </si>
  <si>
    <t>33n</t>
  </si>
  <si>
    <t>Nguyễn Đắc Hải</t>
  </si>
  <si>
    <t>Phó Chánh VP Hội Liên hiệp Phụ nữ tỉnh Lâm Đồng</t>
  </si>
  <si>
    <t>01/10/2010
01/10/2011
01/10/2012
01/10/2013
01/10/2014</t>
  </si>
  <si>
    <t>18%
19%
20%
21%
22%</t>
  </si>
  <si>
    <t>Dôi dư do sắp xếp lại tổ chức</t>
  </si>
  <si>
    <t>Chưa đạt chuẩn về chuyên môn, không sếp xếp bố trí được công việc phù hợp</t>
  </si>
  <si>
    <t>Sức khỏe không đảm bảo, bị gãy 2 chân không tự đi lại được.</t>
  </si>
  <si>
    <t>Chưa có bằng chuyên môn, không bố trí được công việc phù hợp</t>
  </si>
  <si>
    <t>B</t>
  </si>
  <si>
    <t>KHỐI ĐẢNG, ĐOÀN THỂ</t>
  </si>
  <si>
    <t>KHỐI NHÀ NƯỚC</t>
  </si>
  <si>
    <t>15 HỒ SƠ</t>
  </si>
  <si>
    <t>6 hồ sơ</t>
  </si>
  <si>
    <t>9 hồ sơ</t>
  </si>
  <si>
    <t>11 HỒ SƠ</t>
  </si>
  <si>
    <t>57t6th</t>
  </si>
  <si>
    <t>55t1th</t>
  </si>
  <si>
    <t>55t11th</t>
  </si>
  <si>
    <t>56t3th</t>
  </si>
  <si>
    <t>52t11th</t>
  </si>
  <si>
    <t>51t3th</t>
  </si>
  <si>
    <t>26 HỒ SƠ</t>
  </si>
  <si>
    <t>2 hồ sơ</t>
  </si>
  <si>
    <t>8 hồ sơ</t>
  </si>
  <si>
    <t>3,06
2,86
2,85</t>
  </si>
  <si>
    <t>01/07/2013
01/07/2011
01/01/2010</t>
  </si>
  <si>
    <t>chưa đạt trình độ theo tiêu chuẩn theo quy định tại Điểm b, c Khoản 1 Điều 2 Thông tư 06/2012/TT-BNV</t>
  </si>
  <si>
    <t>chưa đạt trình độ theo tiêu chuẩn theo quy định tại Khoản 4 Điều 7 Quyết định 04/2004/QĐ-BNV</t>
  </si>
  <si>
    <t>chưa đạt trình độ theo tiêu chuẩn theo quy định tại Khoản 4 Điều 7 Thông tư 11/2014/TT-BNV</t>
  </si>
  <si>
    <t>chưa đạt trình độ theo tiêu chuẩn theo quy định tại Khoản 2 Điều 4 và Điều 8 Thông tư 163/2013/TTLT-BTC-BNV</t>
  </si>
  <si>
    <t>chưa đạt trình độ theo tiêu chuẩn theo quy định tại Điểm a Khoản 3 Điều 6 Thông tư 13/2014/TTLT-BVHTTDL-BNV</t>
  </si>
  <si>
    <t>chưa đạt trình độ theo tiêu chuẩn theo quy định tại Khoản 4 Điều 9 Thông tư 11/2014/TT-BNV</t>
  </si>
  <si>
    <t>CỘNG HÒA XÃ HỘI CHỦ NGHĨA VIỆT NAM</t>
  </si>
  <si>
    <t>Độc lập - Tự do - Hạnh phúc</t>
  </si>
  <si>
    <t>(Kèm theo Tờ trình số              /TTr-UBND ngày     tháng      năm 2015 của UBND tỉnh Lâm Đồng)</t>
  </si>
  <si>
    <t>không đảm bảo về lịch sử chính trị, nhưng không có vị trí việc làm phù hợp để bố trí</t>
  </si>
  <si>
    <t>năm 2013, 2014 được đánh giá hoàn thành nhiệm vụ nhưng còn hạn chế về năng lực trong công tác, không bố trí được công việc khác phù hợp hơn</t>
  </si>
  <si>
    <t>năm 2013, 2014 được đánh giá hoàn thành nhiệm vụ nhưng còn hạn chế về năng lực trong công tác do lớn tuổi.</t>
  </si>
  <si>
    <t>Đức Trọng</t>
  </si>
  <si>
    <t>9%
10%
11%
12%
13%</t>
  </si>
  <si>
    <t>22n04t</t>
  </si>
  <si>
    <t>Hưởng chế độ hưu trí và không bị trừ tỷ lệ lương hưu do nghỉ trước tuổi</t>
  </si>
  <si>
    <t>5%
6%</t>
  </si>
  <si>
    <t>7%
8%
9%
10%
11%</t>
  </si>
  <si>
    <t>3,46
3,66</t>
  </si>
  <si>
    <t>17%
18%
19%
20%
21%
22%</t>
  </si>
  <si>
    <t>39n09t</t>
  </si>
  <si>
    <t>8%
9%
10%
11%
12%</t>
  </si>
  <si>
    <t>33n08t</t>
  </si>
  <si>
    <t>Lâm Hà</t>
  </si>
  <si>
    <t>5%
6%
7%</t>
  </si>
  <si>
    <t>Đà Lạt</t>
  </si>
  <si>
    <t>30n09t</t>
  </si>
  <si>
    <t>Đam Rông</t>
  </si>
  <si>
    <t>27n06t</t>
  </si>
  <si>
    <t>12%
13%
14%
15%</t>
  </si>
  <si>
    <t>15%
16%
17%
18%
19%
20%</t>
  </si>
  <si>
    <t>Năm 2015, 2016: Hoàn thành nhiệm vụ nhưng còn hạn chế về năng lực</t>
  </si>
  <si>
    <t>Nguyễn Thị Thuý</t>
  </si>
  <si>
    <t>Kế toán trưởng Chi cục Tiêu chuẩn Đo lường chất lượng – Sở Khoa học &amp; Công nghệ tỉnh Lâm Đồng</t>
  </si>
  <si>
    <t>27n03t</t>
  </si>
  <si>
    <t>4,06+
12%</t>
  </si>
  <si>
    <t>Triệu Thanh Nguyên</t>
  </si>
  <si>
    <t>Cá nhân thôi giữ chức vụ do sáp nhập Công ty PTHT KCN Phú Hội vào Công ty PTHT KCN Lộc Sơn theo Quyết định số 1519/QĐ-UBND ngày 16/7/2019 của UBND tỉnh Lâm Đồng, có đơn xin giải quyết hưu trước tuổi theo Nghị định 108/2014/NĐ-CP được cơ quan, đơn vị trực tiếp quản lý đồng ý.</t>
  </si>
  <si>
    <t>Nguyễn Văn Phú</t>
  </si>
  <si>
    <t>Trần Thị Hương Thơm</t>
  </si>
  <si>
    <t>26%
27%
28%
29%
30%
31%</t>
  </si>
  <si>
    <t>Phạm Thị Thu Thanh</t>
  </si>
  <si>
    <t>Phạm Thị Vui</t>
  </si>
  <si>
    <t>3,66
3,99</t>
  </si>
  <si>
    <t>Nguyễn Thị Xuân</t>
  </si>
  <si>
    <t>01/09/2012
01/09/2015</t>
  </si>
  <si>
    <t>25%
26%
27%
28%
29%
30%</t>
  </si>
  <si>
    <t>Đinh Thị Nguyệt</t>
  </si>
  <si>
    <t>Nguyễn Thị Thắng</t>
  </si>
  <si>
    <t>31n07t</t>
  </si>
  <si>
    <t>Nghiêm Thị Hồng</t>
  </si>
  <si>
    <t>Không hoàn thành nhiệm vụ trong năm trước liền kề tại thời điểm xét tinh giản biên chế (năm học 2018-2019), cá nhân tự nguyện thực hiện tinh giản biên chế và được cơ quan, đơn vị trực tiếp quản lý đồng ý.</t>
  </si>
  <si>
    <t>Nguyễn Thị Bảy</t>
  </si>
  <si>
    <t>Nguyễn Ngọc Tuý</t>
  </si>
  <si>
    <t>Lê Xuân Sơn</t>
  </si>
  <si>
    <t>Phạm Thị Thoan</t>
  </si>
  <si>
    <t>Hà Thị Hương Giang</t>
  </si>
  <si>
    <t>Liêng Jrang K'Phang</t>
  </si>
  <si>
    <t>24%
25%
26%
27%
28%
29%</t>
  </si>
  <si>
    <t>05n06t</t>
  </si>
  <si>
    <t>Lê Ngọc</t>
  </si>
  <si>
    <t>nguyên Chủ tịch UB MTTQVN xã Xuân Thọ – Tp. Đà Lạt</t>
  </si>
  <si>
    <t>12n05t</t>
  </si>
  <si>
    <t>Từ ngày 01 tháng 01 năm 2020 đến ngày 01 tháng 06 năm 2020</t>
  </si>
  <si>
    <t>8%
9%
10%
11%</t>
  </si>
  <si>
    <t>Vương Thị Minh</t>
  </si>
  <si>
    <t>Dôi dư do rà soát, sắp xếp lại tổ chức bộ máy, nhân sự theo quyết định của số 2037/QĐ-UBND ngày 10/10/2018 của UBND tỉnh Lâm Đồng về việc thành lập Ban QLRPH Lâm Hà trên cơ sở hợp nhất Ban QLRPH Lán Tranh và Ban QLRPH Nam Ban và Phương án bố trí, sắp xếp nhân sự ngày 07/01/2019 của BQLRPH Lâm Hà.</t>
  </si>
  <si>
    <t>Võ Văn Thừa</t>
  </si>
  <si>
    <t>Chưa đạt chuẩn theo quy định tại Điểm a Khoản 4 Điều 9 Thông tư số 11/2014/TT-BNV của Bộ Nội vụ quy định chức danh, mã số ngạch và tiêu chuẩn nghiệp vụ chuyên môn các ngạch công chức chuyên ngành hành chính, cá nhân tự nguyện thực hiện tinh giản biên chế và được cơ quan, đơn vị trực tiếp quản lý đồng ý.</t>
  </si>
  <si>
    <t>Dôi dư do rà soát, sắp xếp lại tổ chức bộ máy, nhân sự theo Quyết định số 2616/QĐ-UBND ngày 29/7/2019 của UBND huyện Lâm Hà về việc thành lập trường Kim Đồng trên cơ sở giải thể trường TH Đinh Văn II và trường TH Đinh Văn IV huyện Lâm Hà và Kế hoạch số 173/KH-UBND ngày 08/8/2019 của UBND huyện Lâm Hà về tinh giản biên chế sau khi thành lập trường TH Kim Đồng, trường TH Tân Thanh 1 và trường TH&amp;THCS Cill Cus năm 2019.</t>
  </si>
  <si>
    <t>Cấn Thị Hương</t>
  </si>
  <si>
    <t>Tống Văn Thơm</t>
  </si>
  <si>
    <t>4,06 + 8%</t>
  </si>
  <si>
    <t>Không hoàn thành nhiệm vụ trong năm trước liền kề tại thời điểm xét tinh giản biên chế (năm 2018), cá nhân tự nguyện thực hiện tinh giản biên chế và được cơ quan, đơn vị trực tiếp quản lý đồng ý.</t>
  </si>
  <si>
    <t>Nguyễn Thị Hồng Minh</t>
  </si>
  <si>
    <t>Trần Thị Loan</t>
  </si>
  <si>
    <t>Thiều Thị Kim Liên</t>
  </si>
  <si>
    <t>Cán bộ, công chức, viên chức thôi giữ chức vụ do sắp xếp tổ chức bộ máy theo quyết định của cơ quan có thẩm quyền (Quyết định số 386/QĐ-UBND ngày 27/02/2019 của UBND tỉnh Lâm Đồng về việc sáp nhập Trung tâm Dân số - Kế hoạch hoá gia đình các huyện, thành phố và Trung tâm Y tế huyện, thành phố và Phương án sắp xếp nhân sự số 756/PAQ-TTYT ngày 14/10/2019 của Trung tâm Y tế thành phố Đà Lạt), tự nguyện thực hiện tinh giản biên chế và được cơ quan, đơn vị trực tiếp quản lý đồng ý</t>
  </si>
  <si>
    <t>Trịnh Thị Khương</t>
  </si>
  <si>
    <t>Dôi dư do rà soát, sắp xếp lại tổ chức bộ máy, nhân sự theo Quyết định số 386/QĐ-UBND ngày 27/02/2019 của UBND tỉnh Lâm Đồng về việc sáp nhập Trung tâm Dân số - Kế hoạch hoá gia đình các huyện, thành phố và Trung tâm Y tế huyện, thành phố và Phương án sắp xếp nhân sự số 505/PA-TTYT ngày 03/10/2019 của Trung tâm Y tế huyện Đơn Dương.</t>
  </si>
  <si>
    <t>Trần Văn Thanh</t>
  </si>
  <si>
    <t>Nguyễn Thị Lý</t>
  </si>
  <si>
    <t>Dôi dư do rà soát, sắp xếp lại tổ chức bộ máy, nhân sự theo Quyết định số 1836/QĐ-UBND ngày 29/8/2019 của UBND tỉnh Lâm Đồng về việc thành lập Trung tâm Kiểm soát bệnh tật tỉnh Lâm Đồng và Phương án sắp xếp nhân sự số 24/PA-KSBT ngày 11/10/2019 của Trung tâm Kiểm soát bệnh tật tỉnh Lâm Đồng.</t>
  </si>
  <si>
    <t>Nguyễn Văn Đức</t>
  </si>
  <si>
    <t>31n01t</t>
  </si>
  <si>
    <t>01/01/2014
01/01/2015
01/01/2016
01/01/2017
01/01/2018</t>
  </si>
  <si>
    <t>Hồ Đắc Mỹ Hạnh</t>
  </si>
  <si>
    <t>Bùi Thị Liên</t>
  </si>
  <si>
    <t>Đoàn Như Cương</t>
  </si>
  <si>
    <t>Năm 2019 có tổng số ngày nghỉ làm việc có xác nhận của cơ sở khám chữa bệnh và cơ quan Bảo hiểm xã hội chi trả trợ cấp ốm đau là 45 ngày, cá nhân tự nguyện thực hiện tinh giản biên chế và được cơ quan, đơn vị trực tiếp quản lý đồng ý.</t>
  </si>
  <si>
    <t>Đào Thị Bích Vân</t>
  </si>
  <si>
    <t>Năm 2019 có tổng số ngày nghỉ làm việc có xác nhận của cơ sở khám chữa bệnh và cơ quan Bảo hiểm xã hội chi trả trợ cấp ốm đau là 56 ngày, cá nhân tự nguyện thực hiện tinh giản biên chế và được cơ quan, đơn vị trực tiếp quản lý đồng ý.</t>
  </si>
  <si>
    <t>Nguyễn Dũng</t>
  </si>
  <si>
    <t>Có 02 năm liên tiếp liền kề tại thời điểm xét tinh giản biên chế, công chức có 01 năm được phân loại đánh giá xếp vào mức hoàn thành nhiệm vụ nhưng hạn chế về năng lực (năm 2017) và 01 năm không hoàn thành nhiệm vụ (năm 2018) nhưng không thể bố trí việc làm khác phù hợp.</t>
  </si>
  <si>
    <t>Di Linh</t>
  </si>
  <si>
    <t>Trần Thị Lựu</t>
  </si>
  <si>
    <t>4,06 + 14%</t>
  </si>
  <si>
    <t>10%
11%
12%
13%</t>
  </si>
  <si>
    <t>K'Nam</t>
  </si>
  <si>
    <t>Huỳnh Thị Nhung</t>
  </si>
  <si>
    <t>Trần Cao Thu Nguyệt</t>
  </si>
  <si>
    <t>Lê Thị Ngọc Lâu</t>
  </si>
  <si>
    <t>Nguyễn Lân</t>
  </si>
  <si>
    <t>Có 02 năm liên tiếp liền kề tại thời điểm xét tinh giản biên chế, công chức được phân loại, đánh giá xếp vào mức hoàn thành nhiệm vụ nhưng còn hạn chế về năng lực (năm 2017, năm 2018) nhưng không thể bố trí việc làm khác phù hợp.</t>
  </si>
  <si>
    <t>Đặng Văn Tính</t>
  </si>
  <si>
    <t>Cil Ha Dung</t>
  </si>
  <si>
    <t>Giáo viên trường TH Đạ Long, huyện Đam Rông</t>
  </si>
  <si>
    <t>Khương Xuân Tùng</t>
  </si>
  <si>
    <t>Nguyễn Công Chúng</t>
  </si>
  <si>
    <t>Có chuyên ngành đào tạo không phù hợp với vị trí việc làm hiện đang đảm nhiệm nên bị hạn chế về năng lực hoàn thành công việc được giao (năm 2017, năm 2018 hoàn thành nhiệm vụ nhưng hạn chế về năng lực), cá nhân tự nguyện thực hiện tinh giản biên chế và được cơ quan, đơn vị trực tiếp quản lý đồng ý.</t>
  </si>
  <si>
    <t>Lê Văn Sở</t>
  </si>
  <si>
    <t>Nguyễn Thị Thuỳ Dung</t>
  </si>
  <si>
    <t>Nguyễn Quang Mân</t>
  </si>
  <si>
    <t>32n09t</t>
  </si>
  <si>
    <t>Đoàn Thị Minh Huệ</t>
  </si>
  <si>
    <t>Cá nhân thôi giữ chức vụ do sắp xếp các phòng chuyên môn, nghiệp vụ theo Quyết định số 40/2019/QĐ-UBND ngày 09/9/2019 của UBND tỉnh Lâm Đồng về việc sửa đổi Điều 21 của Quy định chức năng, nhiệm vụ, quyền hạn và cơ cấu tổ chức của Sở Kế hoạch và Đầu tư tỉnh Lâm Đồng ban hành kèm theo Quyết định số 47/2016/QĐ-UBND ngày 23/8/2016, tự nguyện thực hiện tinh giản biên chế và được cơ quan, đơn vị trực tiếp quản lý đồng ý.</t>
  </si>
  <si>
    <t>Dôi dư do sắp xếp các phòng chuyên môn, nghiệp vụ theo Quyết định số 40/2019/QĐ-UBND ngày 09/9/2019 của UBND tỉnh Lâm Đồng về việc sửa đổi Điều 21 của Quy định chức năng, nhiệm vụ, quyền hạn và cơ cấu tổ chức của Sở Kế hoạch và Đầu tư tỉnh Lâm Đồng ban hành kèm theo Quyết định số 47/2016/QĐ-UBND ngày 23/8/2016.</t>
  </si>
  <si>
    <t>Có 02 năm liên tiếp liền kề tại thời điểm xét tinh giản biên chế, viên chức có 01 năm được phân loại đánh giá xếp vào mức hoàn thành nhiệm vụ (năm học 2017-2018) và 01 năm không hoàn thành nhiệm vụ (năm học 2018-2019). Cá nhân có đơn tự nguyện thực hiện tinh giản biên chế và được đơn vị trực tiếp quản lý đồng ý.</t>
  </si>
  <si>
    <t>Chưa đạt trình độ đào tạo theo tiêu chuẩn chuyên môn, nghiệp vụ quy định đối với vị trí việc làm đang đảm nhiệm (theo Quyết định số 1818/QĐ-UBND ngày 12/9/2018 của UBND tỉnh Lâm Đồng về việc phê duyệt bản mô tả công việc, khung năng lực theo VTVL thuộc UBND Tp.Bảo Lộc, trong đó quy định vị trí chuyên viên Quản lý Tôn giáo phải có trình độ từ Đại học trở lên). Cá nhân có đơn tự nguyện thực hiện tinh giản biên chế và được đơn vị trực tiếp quản lý đồng ý.</t>
  </si>
  <si>
    <t>Có 02 năm liên tiếp liền kề tại thời điểm xét tinh giản biên chế, công chức có 01 năm được phân loại đánh giá xếp vào mức hoàn thành nhiệm vụ nhưng hạn chế về năng lực (năm 2017) và 01 năm không hoàn thành nhiệm vụ (năm 2018). Cá nhân có đơn tự nguyện thực hiện tinh giản biên chế và được đơn vị trực tiếp quản lý đồng ý.</t>
  </si>
  <si>
    <t>Chưa đạt trình độ đào tạo theo tiêu chuẩn chuyên môn, nghiệp vụ quy định đối với vị trí việc làm đang đảm nhiệm theo quy định tại Điểm a Khoản 2 Điều 6 Thông tư số 23/2015/TTLT-BGDĐT-BNV. Cá nhân có đơn tự nguyện thực hiện tinh giản biên chế và được đơn vị trực tiếp quản lý đồng ý.</t>
  </si>
  <si>
    <t>Có 02 năm liên tiếp liền kề tại thời điểm xét tinh giản biên chế, viên chức có 01 năm được phân loại đánh giá xếp vào mức hoàn thành nhiệm vụ (năm học 2017-2018) và 01 năm không hoàn thành nhiệm vụ (năm học 2018-2019). Cá nhân tự nguyện thực hiện tinh giản biên chế và được cơ quan, đơn vị trực tiếp quản lý đồng ý.</t>
  </si>
  <si>
    <t>Có 02 năm liên tiếp liền kề tại thời điểm xét tinh giản biên chế, viên chức có 01 năm được phân loại đánh giá xếp vào mức hoàn thành nhiệm vụ (năm học 2018-2019) và 01 năm không hoàn thành nhiệm vụ (năm học 2017-2018). Cá nhân tự nguyện thực hiện tinh giản biên chế và được cơ quan, đơn vị trực tiếp quản lý đồng ý.</t>
  </si>
  <si>
    <t>Kră Jẵn Ha Sâm</t>
  </si>
  <si>
    <t>Nguyễn Kim Hoa</t>
  </si>
  <si>
    <t>Biểu số 3</t>
  </si>
  <si>
    <t xml:space="preserve">UỶ BAN NHÂN DÂN </t>
  </si>
  <si>
    <t>(Kèm theo Báo cáo số              /BC-SNV ngày         tháng      năm 2019 của Sở Nội vụ tỉnh Lâm Đồng)</t>
  </si>
  <si>
    <t>(Kèm theo Công văn số              /SNV-TCBC&amp;TCPCP  ngày           tháng       năm 2018 của Sở Nội vụ tỉnh Lâm Đồng)</t>
  </si>
  <si>
    <t xml:space="preserve">Tổng kinh phí để thực hiện chế độ </t>
  </si>
  <si>
    <t>Cơ quan, đơn vị sử dụng nguồn dự toán ngân sách được giao hàng năm hoặc nguồn thu của đơn vị được để lại</t>
  </si>
  <si>
    <t>Kinh phí ngân sách nhà nước bố trí quy định tại Điểm b, Khoản 2, Điều 2 và Điểm b, Khoản 2, Điều 3</t>
  </si>
  <si>
    <t>Chuyên viên phòng Nông nghiệp và PTNT, huyện Bảo Lâm</t>
  </si>
  <si>
    <t>36n11t</t>
  </si>
  <si>
    <t>57t5th</t>
  </si>
  <si>
    <t>3,06
3,26
3,46</t>
  </si>
  <si>
    <t>01/11/2012
01/11/2014
01/11/2016</t>
  </si>
  <si>
    <t>22n02t</t>
  </si>
  <si>
    <t>Trưởng công an xã Lộc Lâm, huyện Bảo Lâm</t>
  </si>
  <si>
    <t>1,71
1,89</t>
  </si>
  <si>
    <t>01/01/2014
01/01/2016</t>
  </si>
  <si>
    <t>24n04t</t>
  </si>
  <si>
    <t>58t8th</t>
  </si>
  <si>
    <t>Chuyên viên phòng Tài nguyên và Môi trường, huyện Bảo Lâm</t>
  </si>
  <si>
    <t>4,98 + 16%</t>
  </si>
  <si>
    <t>01/09/2013 đến 30/9/2018</t>
  </si>
  <si>
    <t>01/01/2014
01/01/2015
01/01/2016
01/01/2017</t>
  </si>
  <si>
    <t>34n04t</t>
  </si>
  <si>
    <t>Công chức Tư pháp – Hộ tịch thị trấn Đạ M’ri, huyện Đạ Huoai</t>
  </si>
  <si>
    <t>2,46
2,67</t>
  </si>
  <si>
    <t>01/05/2013
01/07/2014</t>
  </si>
  <si>
    <t>24n</t>
  </si>
  <si>
    <t>56t0th</t>
  </si>
  <si>
    <t>Nhân viên Văn phòng HĐND&amp;UBND huyện Đơn Dương</t>
  </si>
  <si>
    <t>3,48 + 12%</t>
  </si>
  <si>
    <t>32n</t>
  </si>
  <si>
    <t>50t8th</t>
  </si>
  <si>
    <t>Phó Trưởng phòng Phòng Y tế Đà Lạt</t>
  </si>
  <si>
    <t>3,99
4,32</t>
  </si>
  <si>
    <t>01/10/2011
01/10/2014</t>
  </si>
  <si>
    <t>35n04t</t>
  </si>
  <si>
    <t>55t7th</t>
  </si>
  <si>
    <t>Cán sự Phòng Tài nguyên và Môi trường thành phố Đà Lạt</t>
  </si>
  <si>
    <t>36n09t</t>
  </si>
  <si>
    <t>56t4th</t>
  </si>
  <si>
    <t>Phó Hiệu trưởng trường TH Lộc Bắc, huyện Bảo Lâm</t>
  </si>
  <si>
    <t>4,06+22%</t>
  </si>
  <si>
    <t xml:space="preserve">01/12/2013
01/12/2014
01/12/2015
01/12/2016
01/12/2017
01/12/2018 </t>
  </si>
  <si>
    <t>18%
19%
20%
21%</t>
  </si>
  <si>
    <t>37n04t</t>
  </si>
  <si>
    <t>56t11th</t>
  </si>
  <si>
    <t>Giáo viên trường TH Lộc Ngãi C, huyện Bảo Lâm</t>
  </si>
  <si>
    <t>17/10/2013 đến 31/8/2016</t>
  </si>
  <si>
    <t>01/09/2013
01/09/2014
01/09/2015
01/09/2016
01/09/2017
01/09/2018</t>
  </si>
  <si>
    <t>21n02t</t>
  </si>
  <si>
    <t>52t3th</t>
  </si>
  <si>
    <t>Viên chức Ban Quản lý rừng Nam Ban, huyện Lâm Hà</t>
  </si>
  <si>
    <t>3,63 + 10%</t>
  </si>
  <si>
    <t>01/04/2013
01/04/2014
01/04/2015
01/04/2016
01/04/2017</t>
  </si>
  <si>
    <t>29n11t</t>
  </si>
  <si>
    <t>55t5th</t>
  </si>
  <si>
    <t>Giáo viên trường THCS Gia Viễn, huyện Cát Tiên</t>
  </si>
  <si>
    <t>01/10/2008 đến 31/01/2014</t>
  </si>
  <si>
    <t>01/08/2013
01/08/2014
01/08/2015 
01/08/2016
01/08/2017
01/08/2018</t>
  </si>
  <si>
    <t>35n06t</t>
  </si>
  <si>
    <t>56t8th</t>
  </si>
  <si>
    <t>Giáo viên trường THCS Đồng Nai, huyện Cát Tiên</t>
  </si>
  <si>
    <t>01/05/2013
01/05/2014
01/05/2015 
01/05/2016
01/05/2017
01/05/2018</t>
  </si>
  <si>
    <t>24n05t</t>
  </si>
  <si>
    <t>Giáo viên trường TH Trần Quốc Toản, thị trấn Mađaguôi, huyện Đạ Huoai</t>
  </si>
  <si>
    <t>4,89 + 5%</t>
  </si>
  <si>
    <t>01/04/2013
01/04/2014
01/04/2015 
01/04/2016
01/04/2017
01/04/2018</t>
  </si>
  <si>
    <t>4,58
4,89</t>
  </si>
  <si>
    <t>01/08/2011
01/08/2014</t>
  </si>
  <si>
    <t>52t5th</t>
  </si>
  <si>
    <t>Viên chức Trung tâm Văn hoá, Thông tin và Thề thao, huyện Đạ Huoai</t>
  </si>
  <si>
    <t>3,63+ 14%</t>
  </si>
  <si>
    <t>35n08t</t>
  </si>
  <si>
    <t>Viên chức Ban Quản lý rừng Sêrêpôk, huyện Đam Rông</t>
  </si>
  <si>
    <t>26%
27%
28%
29%
30%</t>
  </si>
  <si>
    <t xml:space="preserve">01/01/2014
01/01/2015
01/01/2016
01/01/2017
01/01/2018 </t>
  </si>
  <si>
    <t>3,26
3,46</t>
  </si>
  <si>
    <t>01/12/2012
01/12/2014</t>
  </si>
  <si>
    <t>32n03t</t>
  </si>
  <si>
    <t>Giáo viên trường TH Phi Liêng, huyện Đam Rông</t>
  </si>
  <si>
    <t>01/06/2013
01/06/2014
01/06/2015
01/06/2016
01/06/2017
01/06/2018</t>
  </si>
  <si>
    <t>24n08t</t>
  </si>
  <si>
    <t>52t9th</t>
  </si>
  <si>
    <t>Trưởng ban Ban Quản lý rừng PH Ninh Gia, huyện Đức Trọng</t>
  </si>
  <si>
    <t>01/09/2010 đến nay</t>
  </si>
  <si>
    <t>01/07/2013
01/07/2014
01/07/2015
01/07/2016</t>
  </si>
  <si>
    <t>Phó trưởng ban Ban Quản lý rừng PH Ninh Gia, huyện Đức Trọng</t>
  </si>
  <si>
    <t>01/11/2010
01/08/2014</t>
  </si>
  <si>
    <t>31n10t</t>
  </si>
  <si>
    <t>Viên chức Ban Quản lý rừng PH Ninh Gia, huyện Đức Trọng</t>
  </si>
  <si>
    <t xml:space="preserve">4,06 + 7% </t>
  </si>
  <si>
    <t>01/05/2016
01/05/2017</t>
  </si>
  <si>
    <t>50t0th</t>
  </si>
  <si>
    <t>Giáo viên trường TH Lý Tự Trọng, huyện Đức Trọng</t>
  </si>
  <si>
    <t>25%
26%
27%
28%
29%
30%
31%</t>
  </si>
  <si>
    <t>01/12/2012
01/12/2013
01/12/2014
01/12/2015
01/12/2016
01/12/2017
01/12/2018</t>
  </si>
  <si>
    <t>51t0th</t>
  </si>
  <si>
    <t>Giáo viên trường THCS Ninh Gia, huyện Đức Trọng</t>
  </si>
  <si>
    <t>17%
18%
19%
20%</t>
  </si>
  <si>
    <t>01/01/2016
01/10/2016
01/10/2017
01/10/2018</t>
  </si>
  <si>
    <t>3,34
3,65</t>
  </si>
  <si>
    <t>01/09/2010
01/12/2013</t>
  </si>
  <si>
    <t>20n02t</t>
  </si>
  <si>
    <t>Nhân viên Kỹ thuật Trung tâm Văn hoá, Thông tin – Thể thao, huyện Đạ Tẻh</t>
  </si>
  <si>
    <t>4,06 + 13%</t>
  </si>
  <si>
    <t>01/08/2013
01/08/2014
01/08/2015
01/08/2016
01/08/2017</t>
  </si>
  <si>
    <t>35n11t</t>
  </si>
  <si>
    <t>Trưởng Đài Truyền thanh – Truyền hình, huyện Di Linh</t>
  </si>
  <si>
    <t xml:space="preserve">0,2
0,3
</t>
  </si>
  <si>
    <t>01/7/2005 đến 28/02/2016
01/3/2016 đến nay</t>
  </si>
  <si>
    <t>57t7th</t>
  </si>
  <si>
    <t>Viên chức Trung tâm Văn hoá – Thể thao, huyện Di Linh</t>
  </si>
  <si>
    <t>01/07/2013
01/07/2015</t>
  </si>
  <si>
    <t>24n09t</t>
  </si>
  <si>
    <t xml:space="preserve">4,03 + 13%  </t>
  </si>
  <si>
    <t>9%
10%
11%
12%</t>
  </si>
  <si>
    <t>Giáo viên Trung tâm Giáo dục nghề nghiệp - GDTX huyện Đơn Dương</t>
  </si>
  <si>
    <t xml:space="preserve">01/03/2013
01/03/2014
01/03/2015
01/03/2016
01/03/2017
01/03/2018 </t>
  </si>
  <si>
    <t>56t6th</t>
  </si>
  <si>
    <t>Giám đốc Đài Truyền thanh – Truyền hình huyện Đơn Dương</t>
  </si>
  <si>
    <t>4,98 + 6%</t>
  </si>
  <si>
    <t>4,65
4,98</t>
  </si>
  <si>
    <t>01/05/2011
01/05/2014</t>
  </si>
  <si>
    <t>Kiểm lâm viên Ban Quản lý rừng Lâm Viên thành phố Đà Lạt</t>
  </si>
  <si>
    <t>3,63 + 19%</t>
  </si>
  <si>
    <t>15%
16%
17%
18%</t>
  </si>
  <si>
    <t>Viên chức Trung tâm Y tế huyện Di Linh, Sở Y tế</t>
  </si>
  <si>
    <t>01/01/2015
01/01/2016
01/01/2017</t>
  </si>
  <si>
    <t>52t0th</t>
  </si>
  <si>
    <t>Viên chức Trung tâm Y tế huyện Đạ Huoai, Sở Y tế</t>
  </si>
  <si>
    <t>4,06 + 18%</t>
  </si>
  <si>
    <t>14%
15%
16%
17%</t>
  </si>
  <si>
    <t>4,98 + 9%</t>
  </si>
  <si>
    <t>39n10t</t>
  </si>
  <si>
    <t>57t2th</t>
  </si>
  <si>
    <t xml:space="preserve">Trưởng ban Ban quản lý Khu di tích Cát Tiên, Sở Văn hoá, Thể thao và Du lịch </t>
  </si>
  <si>
    <t>57t1th</t>
  </si>
  <si>
    <t>Viên chức Trung tâm Giống và Vật tư nông nghiệp – Sở Nông nghiệp và PTNT</t>
  </si>
  <si>
    <t>31t3th</t>
  </si>
  <si>
    <t>TỔNG HỢP CHUNG DANH SÁCH TINH GIẢN BIÊN CHẾ VÀ DỰ TOÁN KINH PHÍ THỰC HIỆN 06 THÁNG ĐẦU NĂM 2020</t>
  </si>
  <si>
    <t>Dôi dư do rà soát, sắp xếp lại tổ chức bộ máy, nhân sự theo Quyết định số 386/QĐ-UBND ngày 27/02/2019 của UBND tỉnh Lâm Đồng về việc sáp nhập Trung tâm Dân số - Kế hoạch hoá gia đình các huyện, thành phố và Trung tâm Y tế huyện, thành phố và Phương án sắp xếp nhân sự số 926/PA-TTYT ngày 11/10/2019 của Trung tâm Y tế huyện Đạ Tẻh.</t>
  </si>
  <si>
    <t>Có 02 năm liên tiếp liền kề tại thời điểm xét tinh giản biên chế, công chức được phân loại đánh giá xếp vào mức hoàn thành nhiệm vụ nhưng hạn chế về năng lực (năm 2017, năm 2018). Cá nhân có đơn tự nguyện thực hiện tinh giản biên chế và được đơn vị trực tiếp quản lý đồng ý.</t>
  </si>
  <si>
    <t>Chưa có bằng tốt nghiệp đại học hoặc đại học sư phạm trở lên chuyên ngành phù hợp với ngành, nghề giảng dạy, do đó đối tượng chưa đạt trình độ đào tạo theo tiêu chuẩn chuyên môn, nghiệp vụ quy định đối với vị trí việc làm đang đảm nhiệm – Giáo viên giáo dục nghề nghiệp lý thuyết hạng III theo Điểm a Khoản 2 Điều 9 Thông tư 03/2018/TT-BLĐTBXH ngày 15/6/2018 của Bộ Lao động - Thương binh và Xã hội và QĐ số 2637/QĐ-UBND ngày 25/12/2018 của UBND tỉnh Lâm Đồng về việc phê duyệt danh mục vị trí việc làm trong các đơn vị sự nghiệp công lập thuộc UBND huyện Di Linh. Cá nhân có đơn tự nguyện thực hiện tinh giản biên chế và được đơn vị trực tiếp quản lý đồng ý.</t>
  </si>
  <si>
    <t>Chưa có bằng tốt nghiệp đại học hoặc đại học sư phạm trở lên chuyên ngành phù hợp với ngành, nghề giảng dạy”, do đó đối tượng chưa đạt trình độ đào tạo theo tiêu chuẩn chuyên môn, nghiệp vụ quy định đối với vị trí việc làm đang đảm nhiệm – Giáo viên giáo dục nghề nghiệp lý thuyết hạng III theo Điểm a Khoản 2 Điều 9 Thông tư 03/2018/TT-BLĐTBXH ngày 15/6/2018 của Bộ Lao động - Thương binh và Xã hội và QĐ số 2637/QĐ-UBND ngày 25/12/2018 của UBND tỉnh Lâm Đồng về việc phê duyệt danh mục vị trí việc làm trong các đơn vị sự nghiệp công lập thuộc UBND huyện Di Linh. Cá nhân có đơn tự nguyện thực hiện tinh giản biên chế và được đơn vị trực tiếp quản lý đồng ý.</t>
  </si>
  <si>
    <t>Có 02 năm liên tiếp liền kề tại thời điểm xét tinh giản biên chế, viên chức có 01 năm được phân loại đánh giá xếp vào mức hoàn thành nhiệm vụ (năm học 2018-2019) và 01 năm không hoàn thành nhiệm vụ (năm học 2017-2018) nhưng không thể bố trí việc làm khác phù hợp.</t>
  </si>
  <si>
    <t>(Kèm theo Tờ trình số              /TTr-SNV ngày         tháng      năm 2019 của Sở Nội vụ tỉnh Lâm Đồng)</t>
  </si>
  <si>
    <t>(Kèm theo Quyết định số              /QĐ-UBND ngày         tháng       năm 2019 của UBND tỉnh Lâm Đồng)</t>
  </si>
  <si>
    <t>Cán bộ, công chức cấp xã</t>
  </si>
  <si>
    <t>Sở Y tế</t>
  </si>
  <si>
    <t>Bao gồm</t>
  </si>
  <si>
    <t>Kinh phí cơ quan chi từ dự toán ngân sách hàng năm, nguồn thu, nguồn kinh phí hợp pháp khác của đơn vị, Quỹ Hỗ trợ lao động dôi dư</t>
  </si>
  <si>
    <t>Ngân sách nhà nước cấp</t>
  </si>
  <si>
    <t>Y tế</t>
  </si>
  <si>
    <t>(Kèm theo Tờ trình số              /TTr-UBND ngày         tháng       năm 2020 của UBND tỉnh Lâm Đồng)</t>
  </si>
  <si>
    <t>Từ ngày 01 tháng 7 năm 2021 đến ngày 01 tháng 12 năm 2021</t>
  </si>
  <si>
    <t>SỞ TÀI CHÍNH</t>
  </si>
  <si>
    <t>\2</t>
  </si>
  <si>
    <t>DANH SÁCH VÀ KINH PHÍ CHI TRẢ CHO NHỮNG NGƯỜI NGHỈ HƯU TRƯỚC TUỔI  ĐỢT 2 NĂM 2021</t>
  </si>
  <si>
    <t>(Kèm theo Công văn số /STC-HCSN  ngày    tháng 11 năm 2019 của Sở Tài chính tỉnh Lâm Đồng)</t>
  </si>
  <si>
    <t>(Kèm theo Tờ trình số              /TTr-SNV  ngày         tháng      năm 2018 của Sở Nội vụ tỉnh Lâm Đồng)</t>
  </si>
  <si>
    <t>DANH SÁCH VÀ KINH PHÍ CHI TRẢ CHO NHỮNG NGƯỜI THÔI VIỆC NGAY ĐỢT 2 NĂM 2021</t>
  </si>
  <si>
    <t>Bảo Lộc</t>
  </si>
  <si>
    <t>55t6th</t>
  </si>
  <si>
    <t>60t6th</t>
  </si>
  <si>
    <t>3,65
3,96</t>
  </si>
  <si>
    <t>01/01/2017
01/01/2018
01/01/2019
01/01/2020
01/01/2021</t>
  </si>
  <si>
    <t>01/04/2017
01/04/2018
01/04/2019
01/04/2020
01/04/2021
01/04/2022</t>
  </si>
  <si>
    <t>4,98 + 12%</t>
  </si>
  <si>
    <t>Nguyễn Văn Sỹ</t>
  </si>
  <si>
    <t>0,3
0,5</t>
  </si>
  <si>
    <t>2009
01/07/2019</t>
  </si>
  <si>
    <t>38n01t</t>
  </si>
  <si>
    <t>30/6/2018</t>
  </si>
  <si>
    <t>01/7/2018</t>
  </si>
  <si>
    <t>30/6/2019</t>
  </si>
  <si>
    <t>01/7/2019</t>
  </si>
  <si>
    <t>31/3/2018</t>
  </si>
  <si>
    <t>01/4/2018</t>
  </si>
  <si>
    <t>31/3/2019</t>
  </si>
  <si>
    <t>01/4/2019</t>
  </si>
  <si>
    <t>31/3/2020</t>
  </si>
  <si>
    <t>01/4/2020</t>
  </si>
  <si>
    <t>31/3/2021</t>
  </si>
  <si>
    <t>01/4/2021</t>
  </si>
  <si>
    <t>31/3/2022</t>
  </si>
  <si>
    <t>01/4/2022</t>
  </si>
  <si>
    <t>(Kèm theo Tờ trình số              /TTr-SNV ngày         tháng      năm 2022 của Sở Nội vụ tỉnh Lâm Đồng)</t>
  </si>
  <si>
    <t>60t9th</t>
  </si>
  <si>
    <t>Vũ Thị Hiên</t>
  </si>
  <si>
    <t>Giáo viên trường TH Tân Thanh 2, huyện Lâm Hà</t>
  </si>
  <si>
    <t>01/01/2011
01/01/2015</t>
  </si>
  <si>
    <t>01/12/2012
01/12/2013
01/12/2014
01/12/2015
01/12/2016
01/12/2017</t>
  </si>
  <si>
    <t>24n11t</t>
  </si>
  <si>
    <t>Từ tháng 11/2018 đến nay bà Hiên nghỉ ốm dài ngày, có xác nhận của cơ sở khám chữa bệnh và cơ quan Bảo hiểm xã hội chi trả trợ cấp ốm đau, cá nhân tự nguyện thực hiện tinh giản biên chế và được cơ quan, đơn vị trực tiếp quản lý đồng ý.</t>
  </si>
  <si>
    <t>01/01/2023</t>
  </si>
  <si>
    <t>10/10/1973</t>
  </si>
  <si>
    <t>Viên chức Ban Quản lý Rừng PH Hòa Bắc – Hòa Nam, huyện Di Linh</t>
  </si>
  <si>
    <t>0.3 0.25</t>
  </si>
  <si>
    <t>3,33 3,66</t>
  </si>
  <si>
    <t>01/11/2016  01/11/2019</t>
  </si>
  <si>
    <t>4,98+7%</t>
  </si>
  <si>
    <t>Năm 2022 có tổng số ngày nghỉ làm việc có xác nhận của cơ sở khám chữa bệnh và cơ quan Bảo hiểm xã hội chi trả trợ cấp ốm đau là 60 ngày; cá nhân tự nguyện thực hiện tinh giản biên chế và được cơ quan, đơn vị trực tiếp quản lý đồng ý.</t>
  </si>
  <si>
    <t>Ngô Thị Trà My</t>
  </si>
  <si>
    <t>Kế toán trường TH Bùi Thị Xuân, tp Bảo Lộc</t>
  </si>
  <si>
    <t>7/2010- 7/2020
8/2020-7/2021</t>
  </si>
  <si>
    <t>2,46
2,66
2,86</t>
  </si>
  <si>
    <t>01/02/2016  01/02/2018
01/02/2020</t>
  </si>
  <si>
    <t>14n04t</t>
  </si>
  <si>
    <t>Nguyễn Thị Kim Thoa</t>
  </si>
  <si>
    <t>Giáo viên trường THCS Nguyễn Du, tp Đà Lạt</t>
  </si>
  <si>
    <t>30n06t</t>
  </si>
  <si>
    <t>01/04/2020
01/04/2021</t>
  </si>
  <si>
    <t>26n02t</t>
  </si>
  <si>
    <t>Kon Sa K'Bét</t>
  </si>
  <si>
    <t>Công chức Văn phòng – Thống kê xã Đạ Long, huyện Đam Rông</t>
  </si>
  <si>
    <t>18n1t</t>
  </si>
  <si>
    <t>Từ ngày 01 tháng 01 năm 2023 đến ngày 01 tháng 06 năm 2023</t>
  </si>
  <si>
    <t>52t1th</t>
  </si>
  <si>
    <t>(Kèm theo Tờ trình số              /TTr-UBND ngày         tháng       năm 2022 của UBND tỉnh Lâm Đồng)</t>
  </si>
  <si>
    <t>30n07t</t>
  </si>
  <si>
    <t>Từ tháng 11/2028 nghỉ ốm đau dài ngày do bị động kinh, có xác nhận của cơ sở khám chữa bệnh và của cơ quan Bảo hiểm xã hội chi trả trợ cấp ốm đau theo quy định của pháp luật; cá nhân tự nguyện thực hiện tinh giản biên chế được cơ quan, đơn vị trực tiếp quản lý đồng ý.</t>
  </si>
  <si>
    <t>Nguyễn Mạnh Hùng</t>
  </si>
  <si>
    <t>Phó Chủ tịch UBND xã Đam B'ri, thành phố Bảo Lộc</t>
  </si>
  <si>
    <t>Nguyễn Văn Hán</t>
  </si>
  <si>
    <t>Phó Bí thư Đảng ủy xã Đam B'ri, thành phố Bảo Lộc</t>
  </si>
  <si>
    <t>Năm 2021 bị kỷ luật khiển trách, được đánh giá xếp loại không hoàn thành nhiệm vụ, năm 2022 được đánh giá xếp loại hoàn thành nhiệm vụ; theo Thông báo số 383-TB/TU ngày 07/11/2022 của Ban Thường vụ Tỉnh ủy Lâm Đồng về chủ trương bố trí công tác đối với cán bộ, công chức, viên chức lãnh đạo, quản lý sau khi bị kỷ luật, hiện nay địa phương không có vị trí việc làm khác phù hợp để bố trí; cá nhân tự nguyện thực hiện tinh giản biên chế được cơ quan, đơn vị trực tiếp quản lý đồng ý.</t>
  </si>
  <si>
    <t>1/20210</t>
  </si>
  <si>
    <t>BL</t>
  </si>
  <si>
    <t>01/04/2017
01/07/2019</t>
  </si>
  <si>
    <t>3,00
3,33</t>
  </si>
  <si>
    <t>01/09/2014
01/09/2018</t>
  </si>
  <si>
    <t>30n01t</t>
  </si>
  <si>
    <t>51t6th</t>
  </si>
  <si>
    <t>56t5th</t>
  </si>
  <si>
    <t>TỔNG HỢP CHUNG DANH SÁCH TINH GIẢN BIÊN CHẾ VÀ DỰ TOÁN KINH PHÍ THỰC HIỆN BỔ SUNG ĐỢT 1 NĂM 2023</t>
  </si>
  <si>
    <t>(Kèm theo Quyết định  số              /QĐ-UBND ngày         tháng       năm 2023 của Chủ tịch UBND tỉnh Lâm Đồng)</t>
  </si>
  <si>
    <t>01/12/2012
01/12/2014
01/12/2015
01/12/2016
01/12/2017</t>
  </si>
  <si>
    <t>Trần Duy Hùng</t>
  </si>
  <si>
    <t>05/6/1966</t>
  </si>
  <si>
    <t>Đại học</t>
  </si>
  <si>
    <t>UVBVTTU, Nguyên Bí thư Thành ủy, nguyên Chủ tịch HĐND TP Đà Lạt</t>
  </si>
  <si>
    <t>6,78+
10%</t>
  </si>
  <si>
    <t>1,1</t>
  </si>
  <si>
    <t>01/08/2020-30/11/2022</t>
  </si>
  <si>
    <t>6%
7%
8%
9%
10%</t>
  </si>
  <si>
    <t>10/2017
10/2018
10/2019
10/2020
10/2021</t>
  </si>
  <si>
    <t>6,78+9%</t>
  </si>
  <si>
    <t>37n08t</t>
  </si>
  <si>
    <t>Nguyễn Văn Triệu</t>
  </si>
  <si>
    <t>15/9/1966</t>
  </si>
  <si>
    <t>UVBVTTU, Nguyên Bí thư Thành ủy, nguyên Chủ tịch HĐND TP Bảo Lộc</t>
  </si>
  <si>
    <t>6,78+6%</t>
  </si>
  <si>
    <t>01/07/2016-30/11/2022</t>
  </si>
  <si>
    <t xml:space="preserve">
5%
6%</t>
  </si>
  <si>
    <t xml:space="preserve">
01/2021
01/2022</t>
  </si>
  <si>
    <t>6,78+5%</t>
  </si>
  <si>
    <t>32n08th</t>
  </si>
  <si>
    <t>Theo điểm đ, khoản 1, điều 1 NĐ 143/2020-NĐ-CP: "Có 02 năm liên tiếp… hoặc không hoàn thành nhiệm vụ trong năm trước liền kề tại thời điểm xét tinh giản biên chế nhưng cá nhân tự nguyện thực hiện tinh giản biên chế và được cơ quan trực tiếp quản lý đồng ý".
Năm 2022 Bị kỷ luật hình thức khiển trách</t>
  </si>
  <si>
    <t>56t7th</t>
  </si>
  <si>
    <t>Từ tháng 07/2022 nghỉ ốm đau dài ngày vì phải ghép thận, có xác nhận của cơ sở khám chữa bệnh và của cơ quan Bảo hiểm xã hội chi trả trợ cấp ốm đau theo quy định của pháp luật; cá nhân tự nguyện thực hiện tinh giản biên chế được cơ quan, đơn vị trực tiếp quản lý đồng ý.</t>
  </si>
  <si>
    <t>,</t>
  </si>
  <si>
    <t>Giới tính</t>
  </si>
  <si>
    <t>Thời điểm nghỉ hưu trước tuổi</t>
  </si>
  <si>
    <t>Tuổi khi nghỉ hưu trước tuổi</t>
  </si>
  <si>
    <t>Cơ sở để tham chiếu</t>
  </si>
  <si>
    <t>Lấy mốc thời gian là 01/01/2021</t>
  </si>
  <si>
    <t>Tuổi hưu</t>
  </si>
  <si>
    <t>62t0th</t>
  </si>
  <si>
    <t>61t9th</t>
  </si>
  <si>
    <t>61t6th</t>
  </si>
  <si>
    <t>61t3th</t>
  </si>
  <si>
    <t>61t0th</t>
  </si>
  <si>
    <t>60t3th</t>
  </si>
  <si>
    <t>60t0th</t>
  </si>
  <si>
    <t>59t8th</t>
  </si>
  <si>
    <t>59t4th</t>
  </si>
  <si>
    <t>59t0th</t>
  </si>
  <si>
    <t>57t8th</t>
  </si>
  <si>
    <t>57t4th</t>
  </si>
  <si>
    <t>Nam</t>
  </si>
  <si>
    <t>Số năm đóng BHXH 
theo sổ BHXH</t>
  </si>
  <si>
    <t>Tiền lương tháng hiện hưởng</t>
  </si>
  <si>
    <t>Số tháng còn lại</t>
  </si>
  <si>
    <t>Hệ số lương và phụ cấp hiện hưởng</t>
  </si>
  <si>
    <t>Chế độ nghỉ hưu trước tuổi</t>
  </si>
  <si>
    <t>Trợ cấp hưu trí một lần</t>
  </si>
  <si>
    <t>Kinh phí để thực hiện chính sách, chế độ (đồng)</t>
  </si>
  <si>
    <t>48t0th</t>
  </si>
  <si>
    <t>Phụ cấp công vụ</t>
  </si>
  <si>
    <t>Nữ</t>
  </si>
  <si>
    <t>Hệ số lương theo ngạch, bậc, chức danh, chức vụ</t>
  </si>
  <si>
    <t>28n01th</t>
  </si>
  <si>
    <t>Thời điểm sắp xếp theo QĐ của cơ quan có thẩm quyền (nếu có)</t>
  </si>
  <si>
    <t>Trợ cấp thôi việc</t>
  </si>
  <si>
    <t>Trợ cấp do đóng BHXH bắt buộc</t>
  </si>
  <si>
    <t>Trợ cấp tìm việc làm</t>
  </si>
  <si>
    <t xml:space="preserve">Phụ cấp ưu đãi nghề </t>
  </si>
  <si>
    <t>26n10th</t>
  </si>
  <si>
    <t>20n09th</t>
  </si>
  <si>
    <t>22n06th</t>
  </si>
  <si>
    <t>37n03th</t>
  </si>
  <si>
    <t>35n05th</t>
  </si>
  <si>
    <t>37n06th</t>
  </si>
  <si>
    <t>31n11th</t>
  </si>
  <si>
    <t>32n07th</t>
  </si>
  <si>
    <t>35n02th</t>
  </si>
  <si>
    <t>31n05th</t>
  </si>
  <si>
    <t>27n03th</t>
  </si>
  <si>
    <t>27n08th</t>
  </si>
  <si>
    <t>27/8/1976</t>
  </si>
  <si>
    <t>09n01th</t>
  </si>
  <si>
    <t>09n03th</t>
  </si>
  <si>
    <t>17n01th</t>
  </si>
  <si>
    <t>17n09th</t>
  </si>
  <si>
    <t>38n00t</t>
  </si>
  <si>
    <t>33n03th</t>
  </si>
  <si>
    <t>28n01t</t>
  </si>
  <si>
    <t>≥ 15</t>
  </si>
  <si>
    <t>Trợ cấp do có đủ năm đóng BHXH</t>
  </si>
  <si>
    <t>Trợ cấp do có trên  năm đóng BHXH</t>
  </si>
  <si>
    <t>22n03th</t>
  </si>
  <si>
    <t>37n07t</t>
  </si>
  <si>
    <t>17n00th</t>
  </si>
  <si>
    <t>*</t>
  </si>
  <si>
    <t>ĐẢNG CỘNG SẢN VIỆT NAM</t>
  </si>
  <si>
    <t>DANH SÁCH CÁN BỘ, CÔNG CHỨC, VIÊN NGHỈ VIỆC ĐỂ HƯỞNG CHẾ ĐỘ, CHÍNH SÁCH THEO NGHỊ ĐỊNH SỐ 178/2024/NĐ-CP ĐỢT 1 VÀ 2 NĂM 2025</t>
  </si>
  <si>
    <t>(Kèm theo Tờ trình số           -TTr/BTCTU ngày      tháng 4 năm 2025 của Ban Tổ chức Tỉnh ủy)</t>
  </si>
  <si>
    <t>DANH SÁCH CÁN BỘ, CÔNG CHỨC, VIÊN CHỨC NGHỈ HƯU TRƯỚC TUỔI THEO NGHỊ ĐỊNH SỐ 178/2024/NĐ-CP ĐỢT 1 VÀ 2 NĂM 2025</t>
  </si>
  <si>
    <t>27n10th</t>
  </si>
  <si>
    <t>29n00th</t>
  </si>
  <si>
    <t>Nguyễn Văn A</t>
  </si>
  <si>
    <t>Chuyên viên…...........</t>
  </si>
  <si>
    <t>Nguyễn Thị B</t>
  </si>
  <si>
    <t>Nguyên Phó Trưởng Ban…....</t>
  </si>
  <si>
    <t>Nguyên UVBTV, Chủ nhiệm UBKT Đảng ủy…...</t>
  </si>
  <si>
    <t>TÊN ĐƠN VỊ</t>
  </si>
  <si>
    <t>(Kèm theo Công văn số  ….........    của….............)</t>
  </si>
  <si>
    <t>DANH SÁCH CÁN BỘ, CÔNG CHỨC, VIÊN NGHỈ THÔI VIỆC CHỨC THEO NGHỊ ĐỊNH SỐ 178/2024/NĐ-CP NĂM 2025</t>
  </si>
  <si>
    <t>(Kèm theo Công văn số …......... của Thường trực Huyện ủy)</t>
  </si>
</sst>
</file>

<file path=xl/styles.xml><?xml version="1.0" encoding="utf-8"?>
<styleSheet xmlns="http://schemas.openxmlformats.org/spreadsheetml/2006/main" xmlns:mc="http://schemas.openxmlformats.org/markup-compatibility/2006" xmlns:x14ac="http://schemas.microsoft.com/office/spreadsheetml/2009/9/ac" mc:Ignorable="x14ac">
  <numFmts count="9">
    <numFmt numFmtId="43" formatCode="_(* #,##0.00_);_(* \(#,##0.00\);_(* &quot;-&quot;??_);_(@_)"/>
    <numFmt numFmtId="164" formatCode="_-* #,##0.00_-;\-* #,##0.00_-;_-* &quot;-&quot;??_-;_-@_-"/>
    <numFmt numFmtId="165" formatCode="_-* #,##0.00\ &quot;₫&quot;_-;\-* #,##0.00\ &quot;₫&quot;_-;_-* &quot;-&quot;??\ &quot;₫&quot;_-;_-@_-"/>
    <numFmt numFmtId="166" formatCode="_-* #,##0.00\ _₫_-;\-* #,##0.00\ _₫_-;_-* &quot;-&quot;??\ _₫_-;_-@_-"/>
    <numFmt numFmtId="167" formatCode="_(* #,##0_);_(* \(#,##0\);_(* &quot;-&quot;??_);_(@_)"/>
    <numFmt numFmtId="168" formatCode="0.0"/>
    <numFmt numFmtId="169" formatCode="_(* #,##0.0_);_(* \(#,##0.0\);_(* &quot;-&quot;??_);_(@_)"/>
    <numFmt numFmtId="170" formatCode="_(* #,##0.0_);_(* \(#,##0.0\);_(* &quot;-&quot;?_);_(@_)"/>
    <numFmt numFmtId="171" formatCode="_(* #,##0_);_(* \(#,##0\);_(* &quot;-&quot;?_);_(@_)"/>
  </numFmts>
  <fonts count="103" x14ac:knownFonts="1">
    <font>
      <sz val="11"/>
      <color theme="1"/>
      <name val="Calibri"/>
      <family val="2"/>
      <scheme val="minor"/>
    </font>
    <font>
      <sz val="11"/>
      <color indexed="8"/>
      <name val="Calibri"/>
      <family val="2"/>
    </font>
    <font>
      <b/>
      <sz val="12"/>
      <color indexed="8"/>
      <name val="Arial"/>
      <family val="2"/>
    </font>
    <font>
      <i/>
      <sz val="10"/>
      <color indexed="8"/>
      <name val="Arial"/>
      <family val="2"/>
    </font>
    <font>
      <b/>
      <sz val="10"/>
      <color indexed="8"/>
      <name val="Arial"/>
      <family val="2"/>
    </font>
    <font>
      <i/>
      <sz val="8"/>
      <color indexed="8"/>
      <name val="Arial"/>
      <family val="2"/>
    </font>
    <font>
      <sz val="8"/>
      <color indexed="8"/>
      <name val="Arial"/>
      <family val="2"/>
    </font>
    <font>
      <b/>
      <sz val="8"/>
      <color indexed="8"/>
      <name val="Arial"/>
      <family val="2"/>
    </font>
    <font>
      <sz val="10"/>
      <color indexed="8"/>
      <name val="Arial"/>
      <family val="2"/>
    </font>
    <font>
      <b/>
      <i/>
      <sz val="8"/>
      <color indexed="8"/>
      <name val="Arial"/>
      <family val="2"/>
    </font>
    <font>
      <b/>
      <i/>
      <sz val="10"/>
      <color indexed="8"/>
      <name val="Arial"/>
      <family val="2"/>
    </font>
    <font>
      <sz val="11"/>
      <color indexed="8"/>
      <name val="Calibri"/>
      <family val="2"/>
    </font>
    <font>
      <i/>
      <sz val="12"/>
      <color indexed="8"/>
      <name val="Arial"/>
      <family val="2"/>
    </font>
    <font>
      <sz val="10"/>
      <name val="Times New Roman"/>
      <family val="1"/>
    </font>
    <font>
      <sz val="8"/>
      <color indexed="10"/>
      <name val="Arial"/>
      <family val="2"/>
    </font>
    <font>
      <i/>
      <sz val="8"/>
      <color indexed="10"/>
      <name val="Arial"/>
      <family val="2"/>
    </font>
    <font>
      <i/>
      <sz val="13"/>
      <color indexed="8"/>
      <name val="Times New Roman"/>
      <family val="1"/>
    </font>
    <font>
      <b/>
      <sz val="14"/>
      <color indexed="8"/>
      <name val="Times New Roman"/>
      <family val="1"/>
    </font>
    <font>
      <b/>
      <sz val="14"/>
      <color indexed="8"/>
      <name val="Calibri"/>
      <family val="2"/>
    </font>
    <font>
      <b/>
      <sz val="15"/>
      <color indexed="8"/>
      <name val="Arial"/>
      <family val="2"/>
    </font>
    <font>
      <sz val="15"/>
      <color indexed="8"/>
      <name val="Calibri"/>
      <family val="2"/>
    </font>
    <font>
      <b/>
      <sz val="11"/>
      <color indexed="8"/>
      <name val="Calibri"/>
      <family val="2"/>
    </font>
    <font>
      <sz val="8"/>
      <name val="Calibri"/>
      <family val="2"/>
    </font>
    <font>
      <sz val="7"/>
      <name val="Times New Roman"/>
      <family val="1"/>
    </font>
    <font>
      <i/>
      <sz val="7"/>
      <color indexed="8"/>
      <name val="Times New Roman"/>
      <family val="1"/>
    </font>
    <font>
      <b/>
      <sz val="7"/>
      <color indexed="8"/>
      <name val="Times New Roman"/>
      <family val="1"/>
    </font>
    <font>
      <sz val="7"/>
      <color indexed="8"/>
      <name val="Times New Roman"/>
      <family val="1"/>
    </font>
    <font>
      <sz val="7"/>
      <color indexed="8"/>
      <name val="Times New Roman"/>
      <family val="1"/>
    </font>
    <font>
      <b/>
      <i/>
      <sz val="7"/>
      <color indexed="8"/>
      <name val="Times New Roman"/>
      <family val="1"/>
    </font>
    <font>
      <b/>
      <sz val="10"/>
      <color indexed="8"/>
      <name val="Times New Roman"/>
      <family val="1"/>
    </font>
    <font>
      <sz val="10"/>
      <color indexed="8"/>
      <name val="Calibri"/>
      <family val="2"/>
    </font>
    <font>
      <b/>
      <i/>
      <sz val="10"/>
      <color indexed="8"/>
      <name val="Times New Roman"/>
      <family val="1"/>
    </font>
    <font>
      <sz val="8"/>
      <color indexed="8"/>
      <name val="Times New Roman"/>
      <family val="1"/>
    </font>
    <font>
      <b/>
      <sz val="12"/>
      <color indexed="8"/>
      <name val="Times New Roman"/>
      <family val="1"/>
    </font>
    <font>
      <sz val="12"/>
      <color indexed="8"/>
      <name val="Times New Roman"/>
      <family val="1"/>
    </font>
    <font>
      <sz val="12"/>
      <color indexed="8"/>
      <name val="Times New Roman"/>
      <family val="1"/>
    </font>
    <font>
      <b/>
      <sz val="9"/>
      <color indexed="8"/>
      <name val="Times New Roman"/>
      <family val="1"/>
    </font>
    <font>
      <b/>
      <u/>
      <sz val="9"/>
      <color indexed="8"/>
      <name val="Times New Roman"/>
      <family val="1"/>
    </font>
    <font>
      <b/>
      <sz val="8"/>
      <color indexed="8"/>
      <name val="Times New Roman"/>
      <family val="1"/>
    </font>
    <font>
      <sz val="8"/>
      <color indexed="8"/>
      <name val="Calibri"/>
      <family val="2"/>
    </font>
    <font>
      <b/>
      <i/>
      <sz val="8"/>
      <color indexed="8"/>
      <name val="Times New Roman"/>
      <family val="1"/>
    </font>
    <font>
      <b/>
      <sz val="9"/>
      <name val="Times New Roman"/>
      <family val="1"/>
    </font>
    <font>
      <b/>
      <i/>
      <sz val="9"/>
      <name val="Times New Roman"/>
      <family val="1"/>
    </font>
    <font>
      <sz val="9"/>
      <name val="Times New Roman"/>
      <family val="1"/>
    </font>
    <font>
      <b/>
      <sz val="8"/>
      <name val="Times New Roman"/>
      <family val="1"/>
    </font>
    <font>
      <b/>
      <sz val="7"/>
      <name val="Times New Roman"/>
      <family val="1"/>
    </font>
    <font>
      <b/>
      <sz val="10"/>
      <name val="Times New Roman"/>
      <family val="1"/>
    </font>
    <font>
      <b/>
      <i/>
      <sz val="12"/>
      <color indexed="8"/>
      <name val="Times New Roman"/>
      <family val="1"/>
    </font>
    <font>
      <sz val="9"/>
      <color indexed="8"/>
      <name val="Times New Roman"/>
      <family val="1"/>
    </font>
    <font>
      <i/>
      <sz val="8"/>
      <color indexed="8"/>
      <name val="Times New Roman"/>
      <family val="1"/>
    </font>
    <font>
      <sz val="10"/>
      <color indexed="8"/>
      <name val="Times New Roman"/>
      <family val="1"/>
    </font>
    <font>
      <i/>
      <sz val="6"/>
      <color indexed="8"/>
      <name val="Times New Roman"/>
      <family val="1"/>
    </font>
    <font>
      <sz val="12"/>
      <color indexed="8"/>
      <name val="Calibri"/>
      <family val="2"/>
    </font>
    <font>
      <sz val="11"/>
      <color indexed="8"/>
      <name val="Times New Roman"/>
      <family val="1"/>
    </font>
    <font>
      <b/>
      <sz val="11"/>
      <color indexed="8"/>
      <name val="Times New Roman"/>
      <family val="1"/>
    </font>
    <font>
      <b/>
      <u/>
      <sz val="11"/>
      <color indexed="8"/>
      <name val="Times New Roman"/>
      <family val="1"/>
    </font>
    <font>
      <sz val="14"/>
      <color indexed="8"/>
      <name val="Calibri"/>
      <family val="2"/>
    </font>
    <font>
      <sz val="14"/>
      <color indexed="8"/>
      <name val="Times New Roman"/>
      <family val="1"/>
    </font>
    <font>
      <b/>
      <sz val="14"/>
      <color indexed="8"/>
      <name val="Arial"/>
      <family val="2"/>
    </font>
    <font>
      <b/>
      <u/>
      <sz val="14"/>
      <color indexed="8"/>
      <name val="Times New Roman"/>
      <family val="1"/>
    </font>
    <font>
      <b/>
      <i/>
      <sz val="13"/>
      <color indexed="8"/>
      <name val="Times New Roman"/>
      <family val="1"/>
    </font>
    <font>
      <b/>
      <sz val="7"/>
      <color indexed="8"/>
      <name val="Calibri"/>
      <family val="2"/>
    </font>
    <font>
      <i/>
      <sz val="12"/>
      <color indexed="8"/>
      <name val="Times New Roman"/>
      <family val="1"/>
    </font>
    <font>
      <sz val="12"/>
      <name val="Arial"/>
      <family val="2"/>
    </font>
    <font>
      <i/>
      <sz val="9"/>
      <color indexed="8"/>
      <name val="Times New Roman"/>
      <family val="1"/>
    </font>
    <font>
      <i/>
      <sz val="13"/>
      <color indexed="8"/>
      <name val="Times New Roman"/>
      <family val="1"/>
      <charset val="163"/>
    </font>
    <font>
      <i/>
      <sz val="7"/>
      <name val="Times New Roman"/>
      <family val="1"/>
    </font>
    <font>
      <i/>
      <sz val="6"/>
      <name val="Times New Roman"/>
      <family val="1"/>
    </font>
    <font>
      <sz val="11"/>
      <color theme="1"/>
      <name val="Calibri"/>
      <family val="2"/>
      <scheme val="minor"/>
    </font>
    <font>
      <b/>
      <sz val="11"/>
      <color theme="1"/>
      <name val="Calibri"/>
      <family val="2"/>
      <scheme val="minor"/>
    </font>
    <font>
      <sz val="7"/>
      <color theme="1"/>
      <name val="Times New Roman"/>
      <family val="1"/>
    </font>
    <font>
      <sz val="12"/>
      <color theme="1"/>
      <name val="Calibri"/>
      <family val="2"/>
      <scheme val="minor"/>
    </font>
    <font>
      <sz val="13"/>
      <color theme="1"/>
      <name val="Calibri"/>
      <family val="2"/>
      <scheme val="minor"/>
    </font>
    <font>
      <sz val="9"/>
      <color theme="1"/>
      <name val="Calibri"/>
      <family val="2"/>
      <scheme val="minor"/>
    </font>
    <font>
      <sz val="13"/>
      <color theme="1"/>
      <name val="Calibri"/>
      <family val="2"/>
      <charset val="163"/>
      <scheme val="minor"/>
    </font>
    <font>
      <b/>
      <sz val="7"/>
      <color rgb="FFFF0000"/>
      <name val="Times New Roman"/>
      <family val="1"/>
    </font>
    <font>
      <b/>
      <sz val="11"/>
      <color rgb="FFFF0000"/>
      <name val="Times New Roman"/>
      <family val="1"/>
    </font>
    <font>
      <sz val="11"/>
      <name val="Calibri"/>
      <family val="2"/>
      <scheme val="minor"/>
    </font>
    <font>
      <sz val="7"/>
      <color rgb="FFFF0000"/>
      <name val="Times New Roman"/>
      <family val="1"/>
    </font>
    <font>
      <i/>
      <sz val="13"/>
      <color rgb="FF000000"/>
      <name val="Times New Roman"/>
      <family val="1"/>
      <charset val="163"/>
    </font>
    <font>
      <sz val="7"/>
      <color rgb="FF7030A0"/>
      <name val="Times New Roman"/>
      <family val="1"/>
    </font>
    <font>
      <b/>
      <sz val="9"/>
      <color rgb="FF7030A0"/>
      <name val="Times New Roman"/>
      <family val="1"/>
    </font>
    <font>
      <sz val="11"/>
      <color rgb="FF7030A0"/>
      <name val="Calibri"/>
      <family val="2"/>
      <scheme val="minor"/>
    </font>
    <font>
      <b/>
      <sz val="11"/>
      <color rgb="FF7030A0"/>
      <name val="Calibri"/>
      <family val="2"/>
      <scheme val="minor"/>
    </font>
    <font>
      <sz val="8"/>
      <name val="Times New Roman"/>
      <family val="1"/>
    </font>
    <font>
      <b/>
      <i/>
      <sz val="9"/>
      <color indexed="8"/>
      <name val="Times New Roman"/>
      <family val="1"/>
    </font>
    <font>
      <i/>
      <sz val="7"/>
      <color rgb="FFFF0000"/>
      <name val="Times New Roman"/>
      <family val="1"/>
    </font>
    <font>
      <b/>
      <sz val="12"/>
      <name val="Times New Roman"/>
      <family val="1"/>
    </font>
    <font>
      <i/>
      <sz val="12"/>
      <name val="Times New Roman"/>
      <family val="1"/>
    </font>
    <font>
      <sz val="12"/>
      <name val="Times New Roman"/>
      <family val="1"/>
    </font>
    <font>
      <sz val="7"/>
      <color theme="1"/>
      <name val="Calibri"/>
      <family val="2"/>
      <scheme val="minor"/>
    </font>
    <font>
      <b/>
      <u/>
      <sz val="15"/>
      <color indexed="8"/>
      <name val="Times New Roman"/>
      <family val="1"/>
    </font>
    <font>
      <sz val="8"/>
      <name val="Calibri"/>
      <family val="2"/>
      <scheme val="minor"/>
    </font>
    <font>
      <i/>
      <sz val="14"/>
      <color indexed="8"/>
      <name val="Times New Roman"/>
      <family val="1"/>
    </font>
    <font>
      <sz val="11"/>
      <color theme="1"/>
      <name val="Times New Roman"/>
      <family val="1"/>
    </font>
    <font>
      <i/>
      <sz val="14"/>
      <name val="Times New Roman"/>
      <family val="1"/>
    </font>
    <font>
      <sz val="14"/>
      <color theme="1"/>
      <name val="Times New Roman"/>
      <family val="1"/>
    </font>
    <font>
      <b/>
      <i/>
      <sz val="14"/>
      <name val="Times New Roman"/>
      <family val="1"/>
    </font>
    <font>
      <i/>
      <sz val="14"/>
      <color theme="1"/>
      <name val="Times New Roman"/>
      <family val="1"/>
    </font>
    <font>
      <i/>
      <sz val="14"/>
      <color rgb="FFFF0000"/>
      <name val="Times New Roman"/>
      <family val="1"/>
    </font>
    <font>
      <sz val="14"/>
      <color rgb="FFFF0000"/>
      <name val="Times New Roman"/>
      <family val="1"/>
    </font>
    <font>
      <sz val="14"/>
      <name val="Times New Roman"/>
      <family val="1"/>
    </font>
    <font>
      <b/>
      <sz val="14"/>
      <name val="Times New Roman"/>
      <family val="1"/>
    </font>
  </fonts>
  <fills count="12">
    <fill>
      <patternFill patternType="none"/>
    </fill>
    <fill>
      <patternFill patternType="gray125"/>
    </fill>
    <fill>
      <patternFill patternType="solid">
        <fgColor indexed="13"/>
        <bgColor indexed="64"/>
      </patternFill>
    </fill>
    <fill>
      <patternFill patternType="solid">
        <fgColor indexed="9"/>
        <bgColor indexed="64"/>
      </patternFill>
    </fill>
    <fill>
      <patternFill patternType="solid">
        <fgColor indexed="49"/>
        <bgColor indexed="64"/>
      </patternFill>
    </fill>
    <fill>
      <patternFill patternType="solid">
        <fgColor indexed="55"/>
        <bgColor indexed="64"/>
      </patternFill>
    </fill>
    <fill>
      <patternFill patternType="solid">
        <fgColor indexed="44"/>
        <bgColor indexed="64"/>
      </patternFill>
    </fill>
    <fill>
      <patternFill patternType="solid">
        <fgColor theme="0"/>
        <bgColor indexed="64"/>
      </patternFill>
    </fill>
    <fill>
      <patternFill patternType="solid">
        <fgColor rgb="FF00B0F0"/>
        <bgColor indexed="64"/>
      </patternFill>
    </fill>
    <fill>
      <patternFill patternType="solid">
        <fgColor rgb="FFFFFF00"/>
        <bgColor indexed="64"/>
      </patternFill>
    </fill>
    <fill>
      <patternFill patternType="solid">
        <fgColor theme="4" tint="0.39997558519241921"/>
        <bgColor indexed="64"/>
      </patternFill>
    </fill>
    <fill>
      <patternFill patternType="solid">
        <fgColor rgb="FF92D050"/>
        <bgColor indexed="64"/>
      </patternFill>
    </fill>
  </fills>
  <borders count="66">
    <border>
      <left/>
      <right/>
      <top/>
      <bottom/>
      <diagonal/>
    </border>
    <border>
      <left/>
      <right style="medium">
        <color indexed="64"/>
      </right>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style="hair">
        <color indexed="64"/>
      </bottom>
      <diagonal/>
    </border>
    <border>
      <left/>
      <right style="medium">
        <color indexed="64"/>
      </right>
      <top style="medium">
        <color indexed="64"/>
      </top>
      <bottom style="hair">
        <color indexed="64"/>
      </bottom>
      <diagonal/>
    </border>
    <border>
      <left style="medium">
        <color indexed="64"/>
      </left>
      <right style="medium">
        <color indexed="64"/>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medium">
        <color indexed="64"/>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style="medium">
        <color indexed="64"/>
      </right>
      <top/>
      <bottom style="hair">
        <color indexed="64"/>
      </bottom>
      <diagonal/>
    </border>
    <border>
      <left/>
      <right style="medium">
        <color indexed="64"/>
      </right>
      <top/>
      <bottom style="hair">
        <color indexed="64"/>
      </bottom>
      <diagonal/>
    </border>
    <border>
      <left/>
      <right style="medium">
        <color indexed="64"/>
      </right>
      <top style="medium">
        <color indexed="64"/>
      </top>
      <bottom style="medium">
        <color indexed="64"/>
      </bottom>
      <diagonal/>
    </border>
    <border>
      <left style="medium">
        <color indexed="64"/>
      </left>
      <right style="thin">
        <color indexed="64"/>
      </right>
      <top style="hair">
        <color indexed="64"/>
      </top>
      <bottom style="medium">
        <color indexed="64"/>
      </bottom>
      <diagonal/>
    </border>
    <border>
      <left style="thin">
        <color indexed="64"/>
      </left>
      <right style="thin">
        <color indexed="64"/>
      </right>
      <top style="hair">
        <color indexed="64"/>
      </top>
      <bottom style="medium">
        <color indexed="64"/>
      </bottom>
      <diagonal/>
    </border>
    <border>
      <left style="medium">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style="medium">
        <color indexed="64"/>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style="thin">
        <color indexed="64"/>
      </left>
      <right style="medium">
        <color indexed="64"/>
      </right>
      <top style="hair">
        <color indexed="64"/>
      </top>
      <bottom style="thin">
        <color indexed="64"/>
      </bottom>
      <diagonal/>
    </border>
    <border>
      <left style="medium">
        <color indexed="64"/>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style="medium">
        <color indexed="64"/>
      </right>
      <top/>
      <bottom style="hair">
        <color indexed="64"/>
      </bottom>
      <diagonal/>
    </border>
    <border>
      <left style="thin">
        <color indexed="64"/>
      </left>
      <right style="medium">
        <color indexed="64"/>
      </right>
      <top style="hair">
        <color indexed="64"/>
      </top>
      <bottom style="medium">
        <color indexed="64"/>
      </bottom>
      <diagonal/>
    </border>
    <border>
      <left style="thin">
        <color indexed="64"/>
      </left>
      <right style="thin">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thin">
        <color indexed="64"/>
      </left>
      <right style="medium">
        <color indexed="64"/>
      </right>
      <top style="thin">
        <color indexed="64"/>
      </top>
      <bottom style="hair">
        <color indexed="64"/>
      </bottom>
      <diagonal/>
    </border>
    <border>
      <left style="medium">
        <color indexed="64"/>
      </left>
      <right style="thin">
        <color indexed="64"/>
      </right>
      <top style="medium">
        <color indexed="64"/>
      </top>
      <bottom style="hair">
        <color indexed="64"/>
      </bottom>
      <diagonal/>
    </border>
    <border>
      <left style="thin">
        <color indexed="64"/>
      </left>
      <right style="thin">
        <color indexed="64"/>
      </right>
      <top style="medium">
        <color indexed="64"/>
      </top>
      <bottom style="hair">
        <color indexed="64"/>
      </bottom>
      <diagonal/>
    </border>
    <border>
      <left style="thin">
        <color indexed="64"/>
      </left>
      <right style="medium">
        <color indexed="64"/>
      </right>
      <top style="medium">
        <color indexed="64"/>
      </top>
      <bottom style="hair">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bottom style="thin">
        <color indexed="64"/>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medium">
        <color indexed="64"/>
      </top>
      <bottom/>
      <diagonal/>
    </border>
    <border>
      <left style="thin">
        <color indexed="64"/>
      </left>
      <right style="medium">
        <color indexed="64"/>
      </right>
      <top style="thin">
        <color indexed="64"/>
      </top>
      <bottom/>
      <diagonal/>
    </border>
    <border>
      <left/>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style="medium">
        <color indexed="64"/>
      </top>
      <bottom/>
      <diagonal/>
    </border>
    <border>
      <left style="thin">
        <color indexed="64"/>
      </left>
      <right style="thin">
        <color indexed="64"/>
      </right>
      <top style="hair">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s>
  <cellStyleXfs count="16">
    <xf numFmtId="0" fontId="0" fillId="0" borderId="0"/>
    <xf numFmtId="164" fontId="11" fillId="0" borderId="0" applyFont="0" applyFill="0" applyBorder="0" applyAlignment="0" applyProtection="0"/>
    <xf numFmtId="166" fontId="63" fillId="0" borderId="0" applyFont="0" applyFill="0" applyBorder="0" applyAlignment="0" applyProtection="0"/>
    <xf numFmtId="166" fontId="63"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0" fontId="63" fillId="0" borderId="0"/>
    <xf numFmtId="0" fontId="68" fillId="0" borderId="0"/>
    <xf numFmtId="9" fontId="1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164" fontId="1" fillId="0" borderId="0" applyFont="0" applyFill="0" applyBorder="0" applyAlignment="0" applyProtection="0"/>
  </cellStyleXfs>
  <cellXfs count="814">
    <xf numFmtId="0" fontId="0" fillId="0" borderId="0" xfId="0"/>
    <xf numFmtId="0" fontId="5" fillId="0" borderId="1" xfId="0" applyFont="1" applyBorder="1" applyAlignment="1">
      <alignment horizontal="center" vertical="center" wrapText="1"/>
    </xf>
    <xf numFmtId="0" fontId="6" fillId="0" borderId="1" xfId="0" applyFont="1" applyBorder="1" applyAlignment="1">
      <alignment horizontal="center" vertical="center" wrapText="1"/>
    </xf>
    <xf numFmtId="0" fontId="6" fillId="0" borderId="2" xfId="0" applyFont="1" applyBorder="1" applyAlignment="1">
      <alignment horizontal="center" vertical="center" wrapText="1"/>
    </xf>
    <xf numFmtId="0" fontId="6" fillId="0" borderId="1" xfId="0" applyFont="1" applyBorder="1" applyAlignment="1">
      <alignment vertical="center" wrapText="1"/>
    </xf>
    <xf numFmtId="0" fontId="7" fillId="0" borderId="1" xfId="0" applyFont="1" applyBorder="1" applyAlignment="1">
      <alignment horizontal="center" vertical="center" wrapText="1"/>
    </xf>
    <xf numFmtId="0" fontId="5" fillId="0" borderId="2" xfId="0" applyFont="1" applyBorder="1" applyAlignment="1">
      <alignment horizontal="center" vertical="center" wrapText="1"/>
    </xf>
    <xf numFmtId="0" fontId="8" fillId="0" borderId="0" xfId="0" applyFont="1" applyAlignment="1">
      <alignment vertical="center"/>
    </xf>
    <xf numFmtId="0" fontId="9" fillId="0" borderId="0" xfId="0" applyFont="1" applyAlignment="1">
      <alignment vertical="center" wrapText="1"/>
    </xf>
    <xf numFmtId="0" fontId="3" fillId="0" borderId="0" xfId="0" applyFont="1" applyAlignment="1">
      <alignment horizontal="center" vertical="center" wrapText="1"/>
    </xf>
    <xf numFmtId="0" fontId="4" fillId="0" borderId="0" xfId="0" applyFont="1" applyAlignment="1">
      <alignment horizontal="center" vertical="center" wrapText="1"/>
    </xf>
    <xf numFmtId="0" fontId="8" fillId="0" borderId="0" xfId="0" applyFont="1" applyAlignment="1">
      <alignment horizontal="center" vertical="center" wrapText="1"/>
    </xf>
    <xf numFmtId="0" fontId="0" fillId="0" borderId="0" xfId="0" applyAlignment="1">
      <alignment vertical="top" wrapText="1"/>
    </xf>
    <xf numFmtId="0" fontId="3" fillId="0" borderId="0" xfId="0" applyFont="1" applyAlignment="1">
      <alignment vertical="center"/>
    </xf>
    <xf numFmtId="0" fontId="2" fillId="0" borderId="0" xfId="0" applyFont="1" applyAlignment="1">
      <alignment horizontal="center" vertical="center"/>
    </xf>
    <xf numFmtId="0" fontId="3" fillId="0" borderId="0" xfId="0" applyFont="1" applyAlignment="1">
      <alignment horizontal="center" vertical="center"/>
    </xf>
    <xf numFmtId="0" fontId="4" fillId="0" borderId="0" xfId="0" applyFont="1" applyAlignment="1">
      <alignment horizontal="center" vertical="center"/>
    </xf>
    <xf numFmtId="0" fontId="4" fillId="0" borderId="0" xfId="0" applyFont="1" applyAlignment="1">
      <alignment vertical="center"/>
    </xf>
    <xf numFmtId="0" fontId="8" fillId="0" borderId="0" xfId="0" applyFont="1" applyAlignment="1">
      <alignment vertical="center" wrapText="1"/>
    </xf>
    <xf numFmtId="0" fontId="0" fillId="0" borderId="0" xfId="0" applyAlignment="1">
      <alignment horizontal="left"/>
    </xf>
    <xf numFmtId="14" fontId="0" fillId="0" borderId="0" xfId="0" applyNumberFormat="1"/>
    <xf numFmtId="1" fontId="0" fillId="0" borderId="0" xfId="0" applyNumberFormat="1"/>
    <xf numFmtId="14" fontId="6" fillId="0" borderId="1" xfId="0" applyNumberFormat="1" applyFont="1" applyBorder="1" applyAlignment="1">
      <alignment horizontal="center" vertical="center" wrapText="1"/>
    </xf>
    <xf numFmtId="2" fontId="6" fillId="0" borderId="1" xfId="0" applyNumberFormat="1" applyFont="1" applyBorder="1" applyAlignment="1">
      <alignment horizontal="center" vertical="center" wrapText="1"/>
    </xf>
    <xf numFmtId="0" fontId="5" fillId="2" borderId="1" xfId="0" applyFont="1" applyFill="1" applyBorder="1" applyAlignment="1">
      <alignment horizontal="center" vertical="center" wrapText="1"/>
    </xf>
    <xf numFmtId="167" fontId="6" fillId="0" borderId="1" xfId="1" applyNumberFormat="1" applyFont="1" applyFill="1" applyBorder="1" applyAlignment="1">
      <alignment horizontal="center" vertical="center" wrapText="1"/>
    </xf>
    <xf numFmtId="167" fontId="6" fillId="0" borderId="1" xfId="0" applyNumberFormat="1" applyFont="1" applyBorder="1" applyAlignment="1">
      <alignment horizontal="center" vertical="center" wrapText="1"/>
    </xf>
    <xf numFmtId="167" fontId="6" fillId="0" borderId="1" xfId="1" applyNumberFormat="1" applyFont="1" applyBorder="1" applyAlignment="1">
      <alignment horizontal="center" vertical="center" wrapText="1"/>
    </xf>
    <xf numFmtId="167" fontId="0" fillId="0" borderId="0" xfId="0" applyNumberFormat="1"/>
    <xf numFmtId="167" fontId="14" fillId="0" borderId="1" xfId="0" applyNumberFormat="1" applyFont="1" applyBorder="1" applyAlignment="1">
      <alignment horizontal="center" vertical="center" wrapText="1"/>
    </xf>
    <xf numFmtId="0" fontId="15" fillId="0" borderId="1" xfId="0" applyFont="1" applyBorder="1" applyAlignment="1">
      <alignment horizontal="center" vertical="center" wrapText="1"/>
    </xf>
    <xf numFmtId="0" fontId="14" fillId="0" borderId="1" xfId="0" applyFont="1" applyBorder="1" applyAlignment="1">
      <alignment horizontal="center" vertical="center" wrapText="1"/>
    </xf>
    <xf numFmtId="0" fontId="6" fillId="0" borderId="3" xfId="0" applyFont="1" applyBorder="1" applyAlignment="1">
      <alignment horizontal="center" vertical="center" wrapText="1"/>
    </xf>
    <xf numFmtId="0" fontId="6" fillId="0" borderId="4" xfId="0" applyFont="1" applyBorder="1" applyAlignment="1">
      <alignment horizontal="center" vertical="center" wrapText="1"/>
    </xf>
    <xf numFmtId="0" fontId="6" fillId="0" borderId="5" xfId="0" applyFont="1" applyBorder="1" applyAlignment="1">
      <alignment horizontal="center" vertical="center" wrapText="1"/>
    </xf>
    <xf numFmtId="0" fontId="6" fillId="0" borderId="6" xfId="0" applyFont="1" applyBorder="1" applyAlignment="1">
      <alignment vertical="center" wrapText="1"/>
    </xf>
    <xf numFmtId="0" fontId="6" fillId="0" borderId="6" xfId="0" applyFont="1" applyBorder="1" applyAlignment="1">
      <alignment horizontal="center" vertical="center" wrapText="1"/>
    </xf>
    <xf numFmtId="14" fontId="6" fillId="0" borderId="6" xfId="0" applyNumberFormat="1" applyFont="1" applyBorder="1" applyAlignment="1">
      <alignment horizontal="center" vertical="center" wrapText="1"/>
    </xf>
    <xf numFmtId="2" fontId="6" fillId="0" borderId="6" xfId="0" applyNumberFormat="1" applyFont="1" applyBorder="1" applyAlignment="1">
      <alignment horizontal="center" vertical="center" wrapText="1"/>
    </xf>
    <xf numFmtId="167" fontId="6" fillId="0" borderId="6" xfId="1" applyNumberFormat="1" applyFont="1" applyFill="1" applyBorder="1" applyAlignment="1">
      <alignment horizontal="center" vertical="center" wrapText="1"/>
    </xf>
    <xf numFmtId="0" fontId="6" fillId="0" borderId="7" xfId="0" applyFont="1" applyBorder="1" applyAlignment="1">
      <alignment horizontal="center" vertical="center" wrapText="1"/>
    </xf>
    <xf numFmtId="0" fontId="7" fillId="0" borderId="8" xfId="0" applyFont="1" applyBorder="1" applyAlignment="1">
      <alignment horizontal="center" vertical="center" wrapText="1"/>
    </xf>
    <xf numFmtId="0" fontId="6" fillId="0" borderId="8" xfId="0" applyFont="1" applyBorder="1" applyAlignment="1">
      <alignment horizontal="center" vertical="center" wrapText="1"/>
    </xf>
    <xf numFmtId="2" fontId="6" fillId="0" borderId="8" xfId="0" applyNumberFormat="1" applyFont="1" applyBorder="1" applyAlignment="1">
      <alignment horizontal="center" vertical="center" wrapText="1"/>
    </xf>
    <xf numFmtId="167" fontId="6" fillId="0" borderId="8" xfId="1" applyNumberFormat="1" applyFont="1" applyFill="1" applyBorder="1" applyAlignment="1">
      <alignment horizontal="center" vertical="center" wrapText="1"/>
    </xf>
    <xf numFmtId="0" fontId="6" fillId="0" borderId="9" xfId="0" applyFont="1" applyBorder="1" applyAlignment="1">
      <alignment horizontal="center" vertical="center" wrapText="1"/>
    </xf>
    <xf numFmtId="0" fontId="6" fillId="0" borderId="10" xfId="0" applyFont="1" applyBorder="1" applyAlignment="1">
      <alignment horizontal="center" vertical="center" wrapText="1"/>
    </xf>
    <xf numFmtId="14" fontId="6" fillId="0" borderId="8" xfId="0" applyNumberFormat="1" applyFont="1" applyBorder="1" applyAlignment="1">
      <alignment horizontal="center" vertical="center" wrapText="1"/>
    </xf>
    <xf numFmtId="14" fontId="6" fillId="0" borderId="0" xfId="0" applyNumberFormat="1" applyFont="1" applyAlignment="1">
      <alignment horizontal="center" vertical="center" wrapText="1"/>
    </xf>
    <xf numFmtId="0" fontId="6" fillId="0" borderId="0" xfId="0" applyFont="1" applyAlignment="1">
      <alignment horizontal="center" vertical="center" wrapText="1"/>
    </xf>
    <xf numFmtId="2" fontId="6" fillId="0" borderId="0" xfId="0" applyNumberFormat="1" applyFont="1" applyAlignment="1">
      <alignment horizontal="center" vertical="center" wrapText="1"/>
    </xf>
    <xf numFmtId="167" fontId="6" fillId="0" borderId="0" xfId="1" applyNumberFormat="1" applyFont="1" applyFill="1" applyBorder="1" applyAlignment="1">
      <alignment horizontal="center" vertical="center" wrapText="1"/>
    </xf>
    <xf numFmtId="2" fontId="13" fillId="3" borderId="0" xfId="0" applyNumberFormat="1" applyFont="1" applyFill="1"/>
    <xf numFmtId="0" fontId="13" fillId="3" borderId="0" xfId="12" applyNumberFormat="1" applyFont="1" applyFill="1" applyBorder="1"/>
    <xf numFmtId="9" fontId="13" fillId="3" borderId="0" xfId="12" applyFont="1" applyFill="1" applyBorder="1"/>
    <xf numFmtId="0" fontId="8" fillId="0" borderId="1" xfId="0" applyFont="1" applyBorder="1" applyAlignment="1">
      <alignment horizontal="center" vertical="center" wrapText="1"/>
    </xf>
    <xf numFmtId="0" fontId="8" fillId="0" borderId="2" xfId="0" applyFont="1" applyBorder="1" applyAlignment="1">
      <alignment horizontal="center" vertical="center" wrapText="1"/>
    </xf>
    <xf numFmtId="0" fontId="8" fillId="0" borderId="1" xfId="0" applyFont="1" applyBorder="1" applyAlignment="1">
      <alignment vertical="center" wrapText="1"/>
    </xf>
    <xf numFmtId="0" fontId="4" fillId="0" borderId="1" xfId="0" applyFont="1" applyBorder="1" applyAlignment="1">
      <alignment horizontal="center" vertical="center" wrapText="1"/>
    </xf>
    <xf numFmtId="0" fontId="10" fillId="0" borderId="0" xfId="0" applyFont="1" applyAlignment="1">
      <alignment vertical="center"/>
    </xf>
    <xf numFmtId="0" fontId="6" fillId="0" borderId="0" xfId="0" applyFont="1" applyAlignment="1">
      <alignment vertical="center"/>
    </xf>
    <xf numFmtId="0" fontId="18" fillId="0" borderId="0" xfId="0" applyFont="1" applyAlignment="1">
      <alignment horizontal="center"/>
    </xf>
    <xf numFmtId="0" fontId="4" fillId="0" borderId="0" xfId="0" applyFont="1" applyAlignment="1">
      <alignment horizontal="left" vertical="center"/>
    </xf>
    <xf numFmtId="0" fontId="20" fillId="0" borderId="0" xfId="0" applyFont="1"/>
    <xf numFmtId="0" fontId="16" fillId="0" borderId="0" xfId="0" applyFont="1" applyAlignment="1">
      <alignment horizontal="center" vertical="center" wrapText="1"/>
    </xf>
    <xf numFmtId="0" fontId="17" fillId="0" borderId="0" xfId="0" applyFont="1" applyAlignment="1">
      <alignment horizontal="center"/>
    </xf>
    <xf numFmtId="0" fontId="16" fillId="0" borderId="0" xfId="0" applyFont="1" applyAlignment="1">
      <alignment horizontal="center" vertical="center"/>
    </xf>
    <xf numFmtId="0" fontId="5" fillId="2" borderId="2" xfId="0" applyFont="1" applyFill="1" applyBorder="1" applyAlignment="1">
      <alignment horizontal="center" vertical="center" wrapText="1"/>
    </xf>
    <xf numFmtId="0" fontId="6" fillId="0" borderId="11" xfId="0" applyFont="1" applyBorder="1" applyAlignment="1">
      <alignment horizontal="center" vertical="center" wrapText="1"/>
    </xf>
    <xf numFmtId="167" fontId="6" fillId="0" borderId="6" xfId="0" applyNumberFormat="1" applyFont="1" applyBorder="1" applyAlignment="1">
      <alignment horizontal="center" vertical="center" wrapText="1"/>
    </xf>
    <xf numFmtId="14" fontId="6" fillId="0" borderId="5" xfId="0" applyNumberFormat="1" applyFont="1" applyBorder="1" applyAlignment="1">
      <alignment horizontal="center" vertical="center" wrapText="1"/>
    </xf>
    <xf numFmtId="167" fontId="14" fillId="0" borderId="6" xfId="0" applyNumberFormat="1" applyFont="1" applyBorder="1" applyAlignment="1">
      <alignment horizontal="center" vertical="center" wrapText="1"/>
    </xf>
    <xf numFmtId="2" fontId="13" fillId="3" borderId="12" xfId="0" applyNumberFormat="1" applyFont="1" applyFill="1" applyBorder="1"/>
    <xf numFmtId="0" fontId="13" fillId="3" borderId="13" xfId="12" applyNumberFormat="1" applyFont="1" applyFill="1" applyBorder="1"/>
    <xf numFmtId="9" fontId="13" fillId="3" borderId="13" xfId="12" applyFont="1" applyFill="1" applyBorder="1"/>
    <xf numFmtId="0" fontId="7" fillId="0" borderId="4" xfId="0" applyFont="1" applyBorder="1" applyAlignment="1">
      <alignment vertical="center" wrapText="1"/>
    </xf>
    <xf numFmtId="0" fontId="7" fillId="0" borderId="10" xfId="0" applyFont="1" applyBorder="1" applyAlignment="1">
      <alignment vertical="center" wrapText="1"/>
    </xf>
    <xf numFmtId="0" fontId="21" fillId="0" borderId="0" xfId="0" applyFont="1"/>
    <xf numFmtId="0" fontId="25" fillId="0" borderId="0" xfId="0" applyFont="1" applyAlignment="1">
      <alignment horizontal="left" vertical="center"/>
    </xf>
    <xf numFmtId="0" fontId="26" fillId="0" borderId="14" xfId="0" applyFont="1" applyBorder="1" applyAlignment="1">
      <alignment horizontal="center" vertical="center" wrapText="1"/>
    </xf>
    <xf numFmtId="0" fontId="26" fillId="0" borderId="15" xfId="0" applyFont="1" applyBorder="1" applyAlignment="1">
      <alignment vertical="center" wrapText="1"/>
    </xf>
    <xf numFmtId="14" fontId="26" fillId="0" borderId="15" xfId="0" applyNumberFormat="1" applyFont="1" applyBorder="1" applyAlignment="1">
      <alignment horizontal="center" vertical="center" wrapText="1"/>
    </xf>
    <xf numFmtId="0" fontId="26" fillId="0" borderId="15" xfId="0" applyFont="1" applyBorder="1" applyAlignment="1">
      <alignment horizontal="center" vertical="center" wrapText="1"/>
    </xf>
    <xf numFmtId="2" fontId="26" fillId="0" borderId="15" xfId="0" applyNumberFormat="1" applyFont="1" applyBorder="1" applyAlignment="1">
      <alignment horizontal="center" vertical="center" wrapText="1"/>
    </xf>
    <xf numFmtId="167" fontId="26" fillId="0" borderId="15" xfId="1" applyNumberFormat="1" applyFont="1" applyFill="1" applyBorder="1" applyAlignment="1">
      <alignment horizontal="center" vertical="center" wrapText="1"/>
    </xf>
    <xf numFmtId="167" fontId="26" fillId="0" borderId="15" xfId="0" applyNumberFormat="1" applyFont="1" applyBorder="1" applyAlignment="1">
      <alignment horizontal="center" vertical="center" wrapText="1"/>
    </xf>
    <xf numFmtId="1" fontId="26" fillId="0" borderId="15" xfId="0" applyNumberFormat="1" applyFont="1" applyBorder="1" applyAlignment="1">
      <alignment horizontal="center" vertical="center" wrapText="1"/>
    </xf>
    <xf numFmtId="167" fontId="26" fillId="0" borderId="15" xfId="1" applyNumberFormat="1" applyFont="1" applyBorder="1" applyAlignment="1">
      <alignment horizontal="center" vertical="center" wrapText="1"/>
    </xf>
    <xf numFmtId="0" fontId="26" fillId="0" borderId="16" xfId="0" applyFont="1" applyBorder="1" applyAlignment="1">
      <alignment horizontal="left" vertical="center" wrapText="1"/>
    </xf>
    <xf numFmtId="0" fontId="26" fillId="0" borderId="17" xfId="0" applyFont="1" applyBorder="1" applyAlignment="1">
      <alignment horizontal="center" vertical="center" wrapText="1"/>
    </xf>
    <xf numFmtId="0" fontId="26" fillId="0" borderId="18" xfId="0" applyFont="1" applyBorder="1" applyAlignment="1">
      <alignment vertical="center" wrapText="1"/>
    </xf>
    <xf numFmtId="0" fontId="26" fillId="0" borderId="18" xfId="0" applyFont="1" applyBorder="1" applyAlignment="1">
      <alignment horizontal="center" vertical="center" wrapText="1"/>
    </xf>
    <xf numFmtId="14" fontId="26" fillId="0" borderId="18" xfId="0" applyNumberFormat="1" applyFont="1" applyBorder="1" applyAlignment="1">
      <alignment horizontal="center" vertical="center" wrapText="1"/>
    </xf>
    <xf numFmtId="2" fontId="26" fillId="0" borderId="18" xfId="0" applyNumberFormat="1" applyFont="1" applyBorder="1" applyAlignment="1">
      <alignment horizontal="center" vertical="center" wrapText="1"/>
    </xf>
    <xf numFmtId="167" fontId="26" fillId="0" borderId="18" xfId="1" applyNumberFormat="1" applyFont="1" applyFill="1" applyBorder="1" applyAlignment="1">
      <alignment horizontal="center" vertical="center" wrapText="1"/>
    </xf>
    <xf numFmtId="0" fontId="26" fillId="0" borderId="19" xfId="0" applyFont="1" applyBorder="1" applyAlignment="1">
      <alignment horizontal="left" vertical="center" wrapText="1"/>
    </xf>
    <xf numFmtId="0" fontId="26" fillId="0" borderId="20" xfId="0" applyFont="1" applyBorder="1" applyAlignment="1">
      <alignment horizontal="center" vertical="center" wrapText="1"/>
    </xf>
    <xf numFmtId="0" fontId="26" fillId="0" borderId="21" xfId="0" applyFont="1" applyBorder="1" applyAlignment="1">
      <alignment vertical="center" wrapText="1"/>
    </xf>
    <xf numFmtId="14" fontId="26" fillId="0" borderId="21" xfId="0" applyNumberFormat="1" applyFont="1" applyBorder="1" applyAlignment="1">
      <alignment horizontal="center" vertical="center" wrapText="1"/>
    </xf>
    <xf numFmtId="0" fontId="26" fillId="0" borderId="21" xfId="0" applyFont="1" applyBorder="1" applyAlignment="1">
      <alignment horizontal="center" vertical="center" wrapText="1"/>
    </xf>
    <xf numFmtId="2" fontId="26" fillId="0" borderId="21" xfId="0" applyNumberFormat="1" applyFont="1" applyBorder="1" applyAlignment="1">
      <alignment horizontal="center" vertical="center" wrapText="1"/>
    </xf>
    <xf numFmtId="167" fontId="26" fillId="0" borderId="21" xfId="1" applyNumberFormat="1" applyFont="1" applyFill="1" applyBorder="1" applyAlignment="1">
      <alignment horizontal="center" vertical="center" wrapText="1"/>
    </xf>
    <xf numFmtId="167" fontId="26" fillId="0" borderId="21" xfId="1" applyNumberFormat="1" applyFont="1" applyBorder="1" applyAlignment="1">
      <alignment horizontal="center" vertical="center" wrapText="1"/>
    </xf>
    <xf numFmtId="167" fontId="26" fillId="0" borderId="21" xfId="0" applyNumberFormat="1" applyFont="1" applyBorder="1" applyAlignment="1">
      <alignment horizontal="center" vertical="center" wrapText="1"/>
    </xf>
    <xf numFmtId="0" fontId="26" fillId="0" borderId="22" xfId="0" applyFont="1" applyBorder="1" applyAlignment="1">
      <alignment horizontal="left" vertical="center" wrapText="1"/>
    </xf>
    <xf numFmtId="0" fontId="26" fillId="0" borderId="12" xfId="0" applyFont="1" applyBorder="1" applyAlignment="1">
      <alignment horizontal="center" vertical="center" wrapText="1"/>
    </xf>
    <xf numFmtId="0" fontId="26" fillId="0" borderId="13" xfId="0" applyFont="1" applyBorder="1" applyAlignment="1">
      <alignment vertical="center" wrapText="1"/>
    </xf>
    <xf numFmtId="0" fontId="26" fillId="0" borderId="13" xfId="0" applyFont="1" applyBorder="1" applyAlignment="1">
      <alignment horizontal="center" vertical="center" wrapText="1"/>
    </xf>
    <xf numFmtId="14" fontId="26" fillId="0" borderId="13" xfId="0" applyNumberFormat="1" applyFont="1" applyBorder="1" applyAlignment="1">
      <alignment horizontal="center" vertical="center" wrapText="1"/>
    </xf>
    <xf numFmtId="2" fontId="26" fillId="0" borderId="13" xfId="0" applyNumberFormat="1" applyFont="1" applyBorder="1" applyAlignment="1">
      <alignment horizontal="center" vertical="center" wrapText="1"/>
    </xf>
    <xf numFmtId="167" fontId="26" fillId="0" borderId="13" xfId="1" applyNumberFormat="1" applyFont="1" applyFill="1" applyBorder="1" applyAlignment="1">
      <alignment horizontal="center" vertical="center" wrapText="1"/>
    </xf>
    <xf numFmtId="0" fontId="26" fillId="0" borderId="23" xfId="0" applyFont="1" applyBorder="1" applyAlignment="1">
      <alignment horizontal="left" vertical="center" wrapText="1"/>
    </xf>
    <xf numFmtId="9" fontId="26" fillId="0" borderId="15" xfId="0" applyNumberFormat="1" applyFont="1" applyBorder="1" applyAlignment="1">
      <alignment horizontal="center" vertical="center" wrapText="1"/>
    </xf>
    <xf numFmtId="1" fontId="26" fillId="0" borderId="21" xfId="0" applyNumberFormat="1" applyFont="1" applyBorder="1" applyAlignment="1">
      <alignment horizontal="center" vertical="center" wrapText="1"/>
    </xf>
    <xf numFmtId="0" fontId="26" fillId="3" borderId="15" xfId="0" applyFont="1" applyFill="1" applyBorder="1" applyAlignment="1">
      <alignment horizontal="center" vertical="center" wrapText="1"/>
    </xf>
    <xf numFmtId="0" fontId="25" fillId="0" borderId="13" xfId="0" applyFont="1" applyBorder="1" applyAlignment="1">
      <alignment horizontal="center" vertical="center" wrapText="1"/>
    </xf>
    <xf numFmtId="0" fontId="26" fillId="0" borderId="0" xfId="0" applyFont="1" applyAlignment="1">
      <alignment vertical="center"/>
    </xf>
    <xf numFmtId="0" fontId="27" fillId="0" borderId="0" xfId="0" applyFont="1"/>
    <xf numFmtId="0" fontId="28" fillId="0" borderId="0" xfId="0" applyFont="1" applyAlignment="1">
      <alignment vertical="center" wrapText="1"/>
    </xf>
    <xf numFmtId="0" fontId="24" fillId="0" borderId="0" xfId="0" applyFont="1" applyAlignment="1">
      <alignment horizontal="center" vertical="center" wrapText="1"/>
    </xf>
    <xf numFmtId="0" fontId="28" fillId="0" borderId="0" xfId="0" applyFont="1" applyAlignment="1">
      <alignment vertical="center"/>
    </xf>
    <xf numFmtId="0" fontId="25" fillId="0" borderId="0" xfId="0" applyFont="1" applyAlignment="1">
      <alignment horizontal="center" vertical="center" wrapText="1"/>
    </xf>
    <xf numFmtId="0" fontId="26" fillId="0" borderId="0" xfId="0" applyFont="1" applyAlignment="1">
      <alignment horizontal="center" vertical="center" wrapText="1"/>
    </xf>
    <xf numFmtId="0" fontId="27" fillId="0" borderId="0" xfId="0" applyFont="1" applyAlignment="1">
      <alignment vertical="top" wrapText="1"/>
    </xf>
    <xf numFmtId="0" fontId="24" fillId="0" borderId="0" xfId="0" applyFont="1" applyAlignment="1">
      <alignment vertical="center"/>
    </xf>
    <xf numFmtId="0" fontId="30" fillId="0" borderId="0" xfId="0" applyFont="1"/>
    <xf numFmtId="14" fontId="26" fillId="0" borderId="24" xfId="0" applyNumberFormat="1" applyFont="1" applyBorder="1" applyAlignment="1">
      <alignment horizontal="center" vertical="center" wrapText="1"/>
    </xf>
    <xf numFmtId="0" fontId="34" fillId="0" borderId="0" xfId="0" applyFont="1"/>
    <xf numFmtId="0" fontId="35" fillId="0" borderId="0" xfId="0" applyFont="1"/>
    <xf numFmtId="0" fontId="26" fillId="0" borderId="16" xfId="0" applyFont="1" applyBorder="1" applyAlignment="1">
      <alignment horizontal="center" vertical="center" wrapText="1"/>
    </xf>
    <xf numFmtId="0" fontId="26" fillId="0" borderId="23" xfId="0" applyFont="1" applyBorder="1" applyAlignment="1">
      <alignment horizontal="center" vertical="center" wrapText="1"/>
    </xf>
    <xf numFmtId="0" fontId="26" fillId="0" borderId="25" xfId="0" applyFont="1" applyBorder="1" applyAlignment="1">
      <alignment horizontal="center" vertical="center" wrapText="1"/>
    </xf>
    <xf numFmtId="0" fontId="26" fillId="0" borderId="24" xfId="0" applyFont="1" applyBorder="1" applyAlignment="1">
      <alignment horizontal="center" vertical="center" wrapText="1"/>
    </xf>
    <xf numFmtId="167" fontId="26" fillId="0" borderId="24" xfId="1" applyNumberFormat="1" applyFont="1" applyFill="1" applyBorder="1" applyAlignment="1">
      <alignment horizontal="center" vertical="center" wrapText="1"/>
    </xf>
    <xf numFmtId="0" fontId="26" fillId="0" borderId="26" xfId="0" applyFont="1" applyBorder="1" applyAlignment="1">
      <alignment horizontal="center" vertical="center" wrapText="1"/>
    </xf>
    <xf numFmtId="0" fontId="26" fillId="0" borderId="24" xfId="0" applyFont="1" applyBorder="1" applyAlignment="1">
      <alignment vertical="center" wrapText="1"/>
    </xf>
    <xf numFmtId="0" fontId="25" fillId="0" borderId="0" xfId="0" applyFont="1" applyAlignment="1">
      <alignment horizontal="center" vertical="center"/>
    </xf>
    <xf numFmtId="0" fontId="26" fillId="0" borderId="27" xfId="0" applyFont="1" applyBorder="1" applyAlignment="1">
      <alignment horizontal="center" vertical="center" wrapText="1"/>
    </xf>
    <xf numFmtId="0" fontId="26" fillId="0" borderId="28" xfId="0" applyFont="1" applyBorder="1" applyAlignment="1">
      <alignment vertical="center" wrapText="1"/>
    </xf>
    <xf numFmtId="14" fontId="26" fillId="0" borderId="28" xfId="0" applyNumberFormat="1" applyFont="1" applyBorder="1" applyAlignment="1">
      <alignment horizontal="center" vertical="center" wrapText="1"/>
    </xf>
    <xf numFmtId="0" fontId="26" fillId="0" borderId="28" xfId="0" applyFont="1" applyBorder="1" applyAlignment="1">
      <alignment horizontal="center" vertical="center" wrapText="1"/>
    </xf>
    <xf numFmtId="9" fontId="26" fillId="0" borderId="21" xfId="0" applyNumberFormat="1" applyFont="1" applyBorder="1" applyAlignment="1">
      <alignment horizontal="center" vertical="center" wrapText="1"/>
    </xf>
    <xf numFmtId="0" fontId="26" fillId="3" borderId="21" xfId="0" applyFont="1" applyFill="1" applyBorder="1" applyAlignment="1">
      <alignment horizontal="center" vertical="center" wrapText="1"/>
    </xf>
    <xf numFmtId="9" fontId="26" fillId="0" borderId="18" xfId="0" applyNumberFormat="1" applyFont="1" applyBorder="1" applyAlignment="1">
      <alignment horizontal="center" vertical="center" wrapText="1"/>
    </xf>
    <xf numFmtId="0" fontId="23" fillId="0" borderId="20" xfId="0" applyFont="1" applyBorder="1" applyAlignment="1">
      <alignment horizontal="center" vertical="center" wrapText="1"/>
    </xf>
    <xf numFmtId="0" fontId="25" fillId="4" borderId="29" xfId="0" applyFont="1" applyFill="1" applyBorder="1" applyAlignment="1">
      <alignment horizontal="center" vertical="center" wrapText="1"/>
    </xf>
    <xf numFmtId="0" fontId="25" fillId="4" borderId="30" xfId="0" applyFont="1" applyFill="1" applyBorder="1" applyAlignment="1">
      <alignment horizontal="left" vertical="center"/>
    </xf>
    <xf numFmtId="0" fontId="26" fillId="4" borderId="30" xfId="0" applyFont="1" applyFill="1" applyBorder="1" applyAlignment="1">
      <alignment horizontal="center" vertical="center" wrapText="1"/>
    </xf>
    <xf numFmtId="0" fontId="26" fillId="4" borderId="31" xfId="0" applyFont="1" applyFill="1" applyBorder="1" applyAlignment="1">
      <alignment horizontal="left" vertical="center" wrapText="1"/>
    </xf>
    <xf numFmtId="0" fontId="25" fillId="4" borderId="30" xfId="0" applyFont="1" applyFill="1" applyBorder="1" applyAlignment="1">
      <alignment vertical="center" wrapText="1"/>
    </xf>
    <xf numFmtId="0" fontId="25" fillId="4" borderId="30" xfId="0" applyFont="1" applyFill="1" applyBorder="1" applyAlignment="1">
      <alignment horizontal="center" vertical="center" wrapText="1"/>
    </xf>
    <xf numFmtId="2" fontId="25" fillId="4" borderId="30" xfId="0" applyNumberFormat="1" applyFont="1" applyFill="1" applyBorder="1" applyAlignment="1">
      <alignment horizontal="center" vertical="center" wrapText="1"/>
    </xf>
    <xf numFmtId="0" fontId="25" fillId="4" borderId="31" xfId="0" applyFont="1" applyFill="1" applyBorder="1" applyAlignment="1">
      <alignment horizontal="left" vertical="center" wrapText="1"/>
    </xf>
    <xf numFmtId="0" fontId="26" fillId="0" borderId="29" xfId="0" applyFont="1" applyBorder="1" applyAlignment="1">
      <alignment horizontal="center" vertical="center" wrapText="1"/>
    </xf>
    <xf numFmtId="0" fontId="26" fillId="0" borderId="30" xfId="0" applyFont="1" applyBorder="1" applyAlignment="1">
      <alignment horizontal="center" vertical="center" wrapText="1"/>
    </xf>
    <xf numFmtId="2" fontId="26" fillId="0" borderId="28" xfId="0" applyNumberFormat="1" applyFont="1" applyBorder="1" applyAlignment="1">
      <alignment horizontal="center" vertical="center" wrapText="1"/>
    </xf>
    <xf numFmtId="0" fontId="32" fillId="0" borderId="32" xfId="0" applyFont="1" applyBorder="1" applyAlignment="1">
      <alignment horizontal="center" vertical="center" wrapText="1"/>
    </xf>
    <xf numFmtId="0" fontId="32" fillId="0" borderId="33" xfId="0" applyFont="1" applyBorder="1" applyAlignment="1">
      <alignment horizontal="center" vertical="center" wrapText="1"/>
    </xf>
    <xf numFmtId="0" fontId="32" fillId="0" borderId="34" xfId="0" applyFont="1" applyBorder="1" applyAlignment="1">
      <alignment horizontal="center" vertical="center" wrapText="1"/>
    </xf>
    <xf numFmtId="0" fontId="25" fillId="4" borderId="30" xfId="0" applyFont="1" applyFill="1" applyBorder="1" applyAlignment="1">
      <alignment horizontal="left" vertical="center" wrapText="1"/>
    </xf>
    <xf numFmtId="16" fontId="26" fillId="0" borderId="21" xfId="0" quotePrefix="1" applyNumberFormat="1" applyFont="1" applyBorder="1" applyAlignment="1">
      <alignment horizontal="center" vertical="center" wrapText="1"/>
    </xf>
    <xf numFmtId="9" fontId="26" fillId="0" borderId="28" xfId="0" applyNumberFormat="1" applyFont="1" applyBorder="1" applyAlignment="1">
      <alignment horizontal="center" vertical="center" wrapText="1"/>
    </xf>
    <xf numFmtId="167" fontId="26" fillId="0" borderId="28" xfId="1" applyNumberFormat="1" applyFont="1" applyFill="1" applyBorder="1" applyAlignment="1">
      <alignment horizontal="center" vertical="center" wrapText="1"/>
    </xf>
    <xf numFmtId="167" fontId="26" fillId="0" borderId="28" xfId="0" applyNumberFormat="1" applyFont="1" applyBorder="1" applyAlignment="1">
      <alignment horizontal="center" vertical="center" wrapText="1"/>
    </xf>
    <xf numFmtId="167" fontId="26" fillId="0" borderId="28" xfId="1" applyNumberFormat="1" applyFont="1" applyBorder="1" applyAlignment="1">
      <alignment horizontal="center" vertical="center" wrapText="1"/>
    </xf>
    <xf numFmtId="0" fontId="26" fillId="0" borderId="35" xfId="0" applyFont="1" applyBorder="1" applyAlignment="1">
      <alignment horizontal="left" vertical="center" wrapText="1"/>
    </xf>
    <xf numFmtId="2" fontId="23" fillId="3" borderId="13" xfId="0" applyNumberFormat="1" applyFont="1" applyFill="1" applyBorder="1"/>
    <xf numFmtId="0" fontId="23" fillId="3" borderId="13" xfId="12" applyNumberFormat="1" applyFont="1" applyFill="1" applyBorder="1"/>
    <xf numFmtId="9" fontId="23" fillId="3" borderId="13" xfId="12" applyFont="1" applyFill="1" applyBorder="1"/>
    <xf numFmtId="0" fontId="38" fillId="4" borderId="29" xfId="0" applyFont="1" applyFill="1" applyBorder="1" applyAlignment="1">
      <alignment horizontal="center" vertical="center" wrapText="1"/>
    </xf>
    <xf numFmtId="0" fontId="38" fillId="4" borderId="30" xfId="0" applyFont="1" applyFill="1" applyBorder="1" applyAlignment="1">
      <alignment horizontal="left" vertical="center" wrapText="1"/>
    </xf>
    <xf numFmtId="0" fontId="32" fillId="4" borderId="30" xfId="0" applyFont="1" applyFill="1" applyBorder="1" applyAlignment="1">
      <alignment vertical="center" wrapText="1"/>
    </xf>
    <xf numFmtId="0" fontId="32" fillId="4" borderId="30" xfId="0" applyFont="1" applyFill="1" applyBorder="1" applyAlignment="1">
      <alignment horizontal="center" vertical="center" wrapText="1"/>
    </xf>
    <xf numFmtId="0" fontId="32" fillId="4" borderId="31" xfId="0" applyFont="1" applyFill="1" applyBorder="1" applyAlignment="1">
      <alignment horizontal="center" vertical="center" wrapText="1"/>
    </xf>
    <xf numFmtId="0" fontId="39" fillId="0" borderId="0" xfId="0" applyFont="1"/>
    <xf numFmtId="0" fontId="38" fillId="4" borderId="36" xfId="0" applyFont="1" applyFill="1" applyBorder="1" applyAlignment="1">
      <alignment horizontal="center" vertical="center" wrapText="1"/>
    </xf>
    <xf numFmtId="0" fontId="38" fillId="4" borderId="37" xfId="0" applyFont="1" applyFill="1" applyBorder="1" applyAlignment="1">
      <alignment horizontal="left" vertical="center" wrapText="1"/>
    </xf>
    <xf numFmtId="0" fontId="32" fillId="4" borderId="37" xfId="0" applyFont="1" applyFill="1" applyBorder="1" applyAlignment="1">
      <alignment vertical="center" wrapText="1"/>
    </xf>
    <xf numFmtId="0" fontId="32" fillId="4" borderId="37" xfId="0" applyFont="1" applyFill="1" applyBorder="1" applyAlignment="1">
      <alignment horizontal="center" vertical="center" wrapText="1"/>
    </xf>
    <xf numFmtId="0" fontId="32" fillId="4" borderId="38" xfId="0" applyFont="1" applyFill="1" applyBorder="1" applyAlignment="1">
      <alignment horizontal="left" vertical="center" wrapText="1"/>
    </xf>
    <xf numFmtId="0" fontId="38" fillId="0" borderId="24" xfId="0" applyFont="1" applyBorder="1" applyAlignment="1">
      <alignment horizontal="center" vertical="center" wrapText="1"/>
    </xf>
    <xf numFmtId="0" fontId="37" fillId="0" borderId="0" xfId="0" applyFont="1" applyAlignment="1">
      <alignment horizontal="center" vertical="center"/>
    </xf>
    <xf numFmtId="0" fontId="26" fillId="0" borderId="15" xfId="0" applyFont="1" applyBorder="1" applyAlignment="1">
      <alignment horizontal="left" vertical="center" wrapText="1"/>
    </xf>
    <xf numFmtId="0" fontId="26" fillId="0" borderId="18" xfId="0" applyFont="1" applyBorder="1" applyAlignment="1">
      <alignment horizontal="left" vertical="center" wrapText="1"/>
    </xf>
    <xf numFmtId="0" fontId="24" fillId="0" borderId="30" xfId="0" applyFont="1" applyBorder="1" applyAlignment="1">
      <alignment horizontal="center" vertical="center" textRotation="90" wrapText="1"/>
    </xf>
    <xf numFmtId="0" fontId="24" fillId="0" borderId="30" xfId="0" applyFont="1" applyBorder="1" applyAlignment="1">
      <alignment horizontal="center" vertical="center" wrapText="1"/>
    </xf>
    <xf numFmtId="0" fontId="24" fillId="2" borderId="30" xfId="0" applyFont="1" applyFill="1" applyBorder="1" applyAlignment="1">
      <alignment horizontal="center" vertical="center" wrapText="1"/>
    </xf>
    <xf numFmtId="0" fontId="24" fillId="2" borderId="30" xfId="0" applyFont="1" applyFill="1" applyBorder="1" applyAlignment="1">
      <alignment horizontal="center" vertical="center" textRotation="90" wrapText="1"/>
    </xf>
    <xf numFmtId="0" fontId="41" fillId="0" borderId="0" xfId="0" applyFont="1"/>
    <xf numFmtId="0" fontId="42" fillId="0" borderId="30" xfId="0" applyFont="1" applyBorder="1" applyAlignment="1">
      <alignment horizontal="center" vertical="center" wrapText="1"/>
    </xf>
    <xf numFmtId="0" fontId="43" fillId="0" borderId="33" xfId="0" applyFont="1" applyBorder="1" applyAlignment="1">
      <alignment horizontal="center" vertical="center" wrapText="1"/>
    </xf>
    <xf numFmtId="0" fontId="44" fillId="4" borderId="30" xfId="0" applyFont="1" applyFill="1" applyBorder="1" applyAlignment="1">
      <alignment horizontal="center" vertical="center" wrapText="1"/>
    </xf>
    <xf numFmtId="167" fontId="41" fillId="0" borderId="21" xfId="0" applyNumberFormat="1" applyFont="1" applyBorder="1" applyAlignment="1">
      <alignment horizontal="center" vertical="center" wrapText="1"/>
    </xf>
    <xf numFmtId="0" fontId="41" fillId="0" borderId="15" xfId="0" applyFont="1" applyBorder="1" applyAlignment="1">
      <alignment horizontal="center" vertical="center" wrapText="1"/>
    </xf>
    <xf numFmtId="0" fontId="41" fillId="0" borderId="18" xfId="0" applyFont="1" applyBorder="1" applyAlignment="1">
      <alignment horizontal="center" vertical="center" wrapText="1"/>
    </xf>
    <xf numFmtId="167" fontId="41" fillId="0" borderId="15" xfId="0" applyNumberFormat="1" applyFont="1" applyBorder="1" applyAlignment="1">
      <alignment horizontal="center" vertical="center" wrapText="1"/>
    </xf>
    <xf numFmtId="0" fontId="44" fillId="4" borderId="37" xfId="0" applyFont="1" applyFill="1" applyBorder="1" applyAlignment="1">
      <alignment horizontal="center" vertical="center" wrapText="1"/>
    </xf>
    <xf numFmtId="0" fontId="41" fillId="0" borderId="13" xfId="0" applyFont="1" applyBorder="1" applyAlignment="1">
      <alignment horizontal="center" vertical="center" wrapText="1"/>
    </xf>
    <xf numFmtId="167" fontId="41" fillId="0" borderId="24" xfId="0" applyNumberFormat="1" applyFont="1" applyBorder="1" applyAlignment="1">
      <alignment horizontal="center" vertical="center" wrapText="1"/>
    </xf>
    <xf numFmtId="0" fontId="41" fillId="4" borderId="30" xfId="0" applyFont="1" applyFill="1" applyBorder="1" applyAlignment="1">
      <alignment horizontal="center" vertical="center" wrapText="1"/>
    </xf>
    <xf numFmtId="167" fontId="41" fillId="0" borderId="28" xfId="0" applyNumberFormat="1" applyFont="1" applyBorder="1" applyAlignment="1">
      <alignment horizontal="center" vertical="center" wrapText="1"/>
    </xf>
    <xf numFmtId="167" fontId="41" fillId="0" borderId="13" xfId="0" applyNumberFormat="1" applyFont="1" applyBorder="1" applyAlignment="1">
      <alignment horizontal="center" vertical="center" wrapText="1"/>
    </xf>
    <xf numFmtId="167" fontId="45" fillId="0" borderId="13" xfId="0" applyNumberFormat="1" applyFont="1" applyBorder="1" applyAlignment="1">
      <alignment horizontal="center" vertical="center" wrapText="1"/>
    </xf>
    <xf numFmtId="167" fontId="43" fillId="0" borderId="24" xfId="0" applyNumberFormat="1" applyFont="1" applyBorder="1" applyAlignment="1">
      <alignment horizontal="center" vertical="center" wrapText="1"/>
    </xf>
    <xf numFmtId="167" fontId="46" fillId="0" borderId="21" xfId="0" applyNumberFormat="1" applyFont="1" applyBorder="1" applyAlignment="1">
      <alignment horizontal="center" vertical="center" wrapText="1"/>
    </xf>
    <xf numFmtId="0" fontId="46" fillId="0" borderId="15" xfId="0" applyFont="1" applyBorder="1" applyAlignment="1">
      <alignment horizontal="center" vertical="center" wrapText="1"/>
    </xf>
    <xf numFmtId="0" fontId="46" fillId="0" borderId="18" xfId="0" applyFont="1" applyBorder="1" applyAlignment="1">
      <alignment horizontal="center" vertical="center" wrapText="1"/>
    </xf>
    <xf numFmtId="167" fontId="46" fillId="0" borderId="15" xfId="0" applyNumberFormat="1" applyFont="1" applyBorder="1" applyAlignment="1">
      <alignment horizontal="center" vertical="center" wrapText="1"/>
    </xf>
    <xf numFmtId="0" fontId="26" fillId="0" borderId="22" xfId="0" applyFont="1" applyBorder="1" applyAlignment="1">
      <alignment vertical="center" wrapText="1"/>
    </xf>
    <xf numFmtId="0" fontId="26" fillId="0" borderId="16" xfId="0" applyFont="1" applyBorder="1" applyAlignment="1">
      <alignment vertical="center" wrapText="1"/>
    </xf>
    <xf numFmtId="0" fontId="26" fillId="0" borderId="19" xfId="0" applyFont="1" applyBorder="1" applyAlignment="1">
      <alignment vertical="center" wrapText="1"/>
    </xf>
    <xf numFmtId="0" fontId="27" fillId="0" borderId="0" xfId="0" applyFont="1" applyAlignment="1">
      <alignment horizontal="left"/>
    </xf>
    <xf numFmtId="0" fontId="26" fillId="4" borderId="30" xfId="0" applyFont="1" applyFill="1" applyBorder="1" applyAlignment="1">
      <alignment horizontal="left" vertical="center" wrapText="1"/>
    </xf>
    <xf numFmtId="0" fontId="26" fillId="0" borderId="21" xfId="0" applyFont="1" applyBorder="1" applyAlignment="1">
      <alignment horizontal="left" vertical="center" wrapText="1"/>
    </xf>
    <xf numFmtId="0" fontId="26" fillId="0" borderId="28" xfId="0" applyFont="1" applyBorder="1" applyAlignment="1">
      <alignment horizontal="left" vertical="center" wrapText="1"/>
    </xf>
    <xf numFmtId="0" fontId="26" fillId="0" borderId="13" xfId="0" applyFont="1" applyBorder="1" applyAlignment="1">
      <alignment horizontal="left" vertical="center" wrapText="1"/>
    </xf>
    <xf numFmtId="0" fontId="36" fillId="0" borderId="24" xfId="0" applyFont="1" applyBorder="1" applyAlignment="1">
      <alignment horizontal="left" vertical="center" wrapText="1"/>
    </xf>
    <xf numFmtId="0" fontId="2" fillId="0" borderId="0" xfId="0" applyFont="1" applyAlignment="1">
      <alignment horizontal="left" vertical="center"/>
    </xf>
    <xf numFmtId="0" fontId="52" fillId="0" borderId="0" xfId="0" applyFont="1"/>
    <xf numFmtId="0" fontId="53" fillId="0" borderId="0" xfId="0" applyFont="1"/>
    <xf numFmtId="0" fontId="48" fillId="0" borderId="15" xfId="0" applyFont="1" applyBorder="1" applyAlignment="1">
      <alignment horizontal="center" vertical="center" wrapText="1"/>
    </xf>
    <xf numFmtId="0" fontId="48" fillId="0" borderId="16" xfId="0" applyFont="1" applyBorder="1" applyAlignment="1">
      <alignment horizontal="left" vertical="center" wrapText="1"/>
    </xf>
    <xf numFmtId="167" fontId="36" fillId="0" borderId="15" xfId="0" applyNumberFormat="1" applyFont="1" applyBorder="1" applyAlignment="1">
      <alignment horizontal="center" vertical="center" wrapText="1"/>
    </xf>
    <xf numFmtId="0" fontId="49" fillId="0" borderId="30" xfId="0" applyFont="1" applyBorder="1" applyAlignment="1">
      <alignment horizontal="center" vertical="center" wrapText="1"/>
    </xf>
    <xf numFmtId="0" fontId="48" fillId="0" borderId="30" xfId="0" applyFont="1" applyBorder="1" applyAlignment="1">
      <alignment horizontal="center" vertical="center" wrapText="1"/>
    </xf>
    <xf numFmtId="168" fontId="26" fillId="0" borderId="21" xfId="0" applyNumberFormat="1" applyFont="1" applyBorder="1" applyAlignment="1">
      <alignment horizontal="center" vertical="center" wrapText="1"/>
    </xf>
    <xf numFmtId="164" fontId="26" fillId="0" borderId="21" xfId="0" applyNumberFormat="1" applyFont="1" applyBorder="1" applyAlignment="1">
      <alignment horizontal="center" vertical="center" wrapText="1"/>
    </xf>
    <xf numFmtId="164" fontId="26" fillId="0" borderId="15" xfId="0" applyNumberFormat="1" applyFont="1" applyBorder="1" applyAlignment="1">
      <alignment horizontal="center" vertical="center" wrapText="1"/>
    </xf>
    <xf numFmtId="164" fontId="26" fillId="0" borderId="28" xfId="0" applyNumberFormat="1" applyFont="1" applyBorder="1" applyAlignment="1">
      <alignment horizontal="center" vertical="center" wrapText="1"/>
    </xf>
    <xf numFmtId="164" fontId="50" fillId="0" borderId="15" xfId="0" applyNumberFormat="1" applyFont="1" applyBorder="1" applyAlignment="1">
      <alignment horizontal="center" vertical="center" wrapText="1"/>
    </xf>
    <xf numFmtId="0" fontId="6" fillId="0" borderId="0" xfId="0" quotePrefix="1" applyFont="1" applyAlignment="1">
      <alignment vertical="center"/>
    </xf>
    <xf numFmtId="167" fontId="41" fillId="0" borderId="18" xfId="0" applyNumberFormat="1" applyFont="1" applyBorder="1" applyAlignment="1">
      <alignment horizontal="center" vertical="center" wrapText="1"/>
    </xf>
    <xf numFmtId="0" fontId="25" fillId="6" borderId="32" xfId="0" applyFont="1" applyFill="1" applyBorder="1" applyAlignment="1">
      <alignment horizontal="center" vertical="center" wrapText="1"/>
    </xf>
    <xf numFmtId="0" fontId="25" fillId="6" borderId="33" xfId="0" applyFont="1" applyFill="1" applyBorder="1" applyAlignment="1">
      <alignment horizontal="left" vertical="center" wrapText="1"/>
    </xf>
    <xf numFmtId="0" fontId="26" fillId="6" borderId="33" xfId="0" applyFont="1" applyFill="1" applyBorder="1" applyAlignment="1">
      <alignment horizontal="center" vertical="center" wrapText="1"/>
    </xf>
    <xf numFmtId="0" fontId="26" fillId="6" borderId="33" xfId="0" applyFont="1" applyFill="1" applyBorder="1" applyAlignment="1">
      <alignment horizontal="left" vertical="center" wrapText="1"/>
    </xf>
    <xf numFmtId="0" fontId="26" fillId="6" borderId="34" xfId="0" applyFont="1" applyFill="1" applyBorder="1" applyAlignment="1">
      <alignment horizontal="center" vertical="center" wrapText="1"/>
    </xf>
    <xf numFmtId="0" fontId="0" fillId="6" borderId="0" xfId="0" applyFill="1"/>
    <xf numFmtId="0" fontId="24" fillId="0" borderId="39" xfId="0" applyFont="1" applyBorder="1" applyAlignment="1">
      <alignment horizontal="center" vertical="center" textRotation="90" wrapText="1"/>
    </xf>
    <xf numFmtId="0" fontId="24" fillId="0" borderId="39" xfId="0" applyFont="1" applyBorder="1" applyAlignment="1">
      <alignment horizontal="center" vertical="center" wrapText="1"/>
    </xf>
    <xf numFmtId="0" fontId="51" fillId="0" borderId="39" xfId="0" applyFont="1" applyBorder="1" applyAlignment="1">
      <alignment horizontal="center" vertical="center" wrapText="1"/>
    </xf>
    <xf numFmtId="0" fontId="42" fillId="0" borderId="39" xfId="0" applyFont="1" applyBorder="1" applyAlignment="1">
      <alignment horizontal="center" vertical="center" wrapText="1"/>
    </xf>
    <xf numFmtId="0" fontId="26" fillId="0" borderId="39" xfId="0" applyFont="1" applyBorder="1" applyAlignment="1">
      <alignment horizontal="center" vertical="center" wrapText="1"/>
    </xf>
    <xf numFmtId="0" fontId="26" fillId="0" borderId="30" xfId="0" applyFont="1" applyBorder="1" applyAlignment="1">
      <alignment horizontal="left" vertical="center" wrapText="1"/>
    </xf>
    <xf numFmtId="0" fontId="23" fillId="0" borderId="30" xfId="0" applyFont="1" applyBorder="1" applyAlignment="1">
      <alignment horizontal="center" vertical="center" wrapText="1"/>
    </xf>
    <xf numFmtId="0" fontId="26" fillId="0" borderId="31" xfId="0" applyFont="1" applyBorder="1" applyAlignment="1">
      <alignment horizontal="center" vertical="center" wrapText="1"/>
    </xf>
    <xf numFmtId="167" fontId="41" fillId="6" borderId="33" xfId="0" applyNumberFormat="1" applyFont="1" applyFill="1" applyBorder="1" applyAlignment="1">
      <alignment horizontal="center" vertical="center" wrapText="1"/>
    </xf>
    <xf numFmtId="167" fontId="45" fillId="6" borderId="33" xfId="0" applyNumberFormat="1" applyFont="1" applyFill="1" applyBorder="1" applyAlignment="1">
      <alignment horizontal="center" vertical="center" wrapText="1"/>
    </xf>
    <xf numFmtId="0" fontId="25" fillId="4" borderId="40" xfId="0" applyFont="1" applyFill="1" applyBorder="1" applyAlignment="1">
      <alignment vertical="center" wrapText="1"/>
    </xf>
    <xf numFmtId="0" fontId="25" fillId="6" borderId="41" xfId="0" applyFont="1" applyFill="1" applyBorder="1" applyAlignment="1">
      <alignment vertical="center" wrapText="1"/>
    </xf>
    <xf numFmtId="0" fontId="25" fillId="6" borderId="30" xfId="0" applyFont="1" applyFill="1" applyBorder="1" applyAlignment="1">
      <alignment vertical="center" wrapText="1"/>
    </xf>
    <xf numFmtId="0" fontId="25" fillId="6" borderId="30" xfId="0" applyFont="1" applyFill="1" applyBorder="1" applyAlignment="1">
      <alignment horizontal="center" vertical="center" wrapText="1"/>
    </xf>
    <xf numFmtId="0" fontId="25" fillId="6" borderId="30" xfId="0" applyFont="1" applyFill="1" applyBorder="1" applyAlignment="1">
      <alignment horizontal="left" vertical="center" wrapText="1"/>
    </xf>
    <xf numFmtId="0" fontId="26" fillId="6" borderId="30" xfId="0" applyFont="1" applyFill="1" applyBorder="1" applyAlignment="1">
      <alignment horizontal="center" vertical="center" wrapText="1"/>
    </xf>
    <xf numFmtId="0" fontId="26" fillId="6" borderId="30" xfId="0" applyFont="1" applyFill="1" applyBorder="1" applyAlignment="1">
      <alignment horizontal="left" vertical="center" wrapText="1"/>
    </xf>
    <xf numFmtId="167" fontId="41" fillId="6" borderId="30" xfId="0" applyNumberFormat="1" applyFont="1" applyFill="1" applyBorder="1" applyAlignment="1">
      <alignment horizontal="center" vertical="center" wrapText="1"/>
    </xf>
    <xf numFmtId="167" fontId="45" fillId="6" borderId="30" xfId="0" applyNumberFormat="1" applyFont="1" applyFill="1" applyBorder="1" applyAlignment="1">
      <alignment horizontal="center" vertical="center" wrapText="1"/>
    </xf>
    <xf numFmtId="167" fontId="48" fillId="0" borderId="15" xfId="0" applyNumberFormat="1" applyFont="1" applyBorder="1" applyAlignment="1">
      <alignment horizontal="center" vertical="center" wrapText="1"/>
    </xf>
    <xf numFmtId="0" fontId="36" fillId="0" borderId="0" xfId="0" applyFont="1" applyAlignment="1">
      <alignment horizontal="right" vertical="center"/>
    </xf>
    <xf numFmtId="0" fontId="48" fillId="0" borderId="29" xfId="0" applyFont="1" applyBorder="1" applyAlignment="1">
      <alignment horizontal="center" vertical="center" wrapText="1"/>
    </xf>
    <xf numFmtId="0" fontId="48" fillId="0" borderId="31" xfId="0" applyFont="1" applyBorder="1" applyAlignment="1">
      <alignment horizontal="center" vertical="center" wrapText="1"/>
    </xf>
    <xf numFmtId="0" fontId="37" fillId="0" borderId="0" xfId="0" applyFont="1" applyAlignment="1">
      <alignment vertical="center"/>
    </xf>
    <xf numFmtId="14" fontId="26" fillId="0" borderId="30" xfId="0" applyNumberFormat="1" applyFont="1" applyBorder="1" applyAlignment="1">
      <alignment horizontal="center" vertical="center" wrapText="1"/>
    </xf>
    <xf numFmtId="2" fontId="26" fillId="0" borderId="30" xfId="0" applyNumberFormat="1" applyFont="1" applyBorder="1" applyAlignment="1">
      <alignment horizontal="center" vertical="center" wrapText="1"/>
    </xf>
    <xf numFmtId="9" fontId="26" fillId="0" borderId="30" xfId="0" applyNumberFormat="1" applyFont="1" applyBorder="1" applyAlignment="1">
      <alignment horizontal="center" vertical="center" wrapText="1"/>
    </xf>
    <xf numFmtId="14" fontId="23" fillId="0" borderId="15" xfId="0" applyNumberFormat="1" applyFont="1" applyBorder="1" applyAlignment="1">
      <alignment horizontal="center" vertical="center" wrapText="1"/>
    </xf>
    <xf numFmtId="0" fontId="26" fillId="7" borderId="21" xfId="0" applyFont="1" applyFill="1" applyBorder="1" applyAlignment="1">
      <alignment vertical="center" wrapText="1"/>
    </xf>
    <xf numFmtId="0" fontId="26" fillId="7" borderId="15" xfId="0" applyFont="1" applyFill="1" applyBorder="1" applyAlignment="1">
      <alignment vertical="center" wrapText="1"/>
    </xf>
    <xf numFmtId="0" fontId="26" fillId="7" borderId="18" xfId="0" applyFont="1" applyFill="1" applyBorder="1" applyAlignment="1">
      <alignment vertical="center" wrapText="1"/>
    </xf>
    <xf numFmtId="0" fontId="27" fillId="7" borderId="0" xfId="0" applyFont="1" applyFill="1"/>
    <xf numFmtId="0" fontId="34" fillId="0" borderId="0" xfId="0" applyFont="1" applyAlignment="1">
      <alignment vertical="center"/>
    </xf>
    <xf numFmtId="0" fontId="53" fillId="0" borderId="0" xfId="0" applyFont="1" applyAlignment="1">
      <alignment vertical="center"/>
    </xf>
    <xf numFmtId="0" fontId="54" fillId="0" borderId="0" xfId="0" applyFont="1" applyAlignment="1">
      <alignment horizontal="center" vertical="center"/>
    </xf>
    <xf numFmtId="0" fontId="54" fillId="0" borderId="0" xfId="0" applyFont="1" applyAlignment="1">
      <alignment horizontal="left" vertical="center"/>
    </xf>
    <xf numFmtId="0" fontId="26" fillId="7" borderId="30" xfId="0" applyFont="1" applyFill="1" applyBorder="1" applyAlignment="1">
      <alignment horizontal="center" vertical="center" wrapText="1"/>
    </xf>
    <xf numFmtId="167" fontId="41" fillId="8" borderId="30" xfId="0" applyNumberFormat="1" applyFont="1" applyFill="1" applyBorder="1" applyAlignment="1">
      <alignment horizontal="center" vertical="center" wrapText="1"/>
    </xf>
    <xf numFmtId="0" fontId="25" fillId="8" borderId="30" xfId="0" applyFont="1" applyFill="1" applyBorder="1" applyAlignment="1">
      <alignment horizontal="left" vertical="center"/>
    </xf>
    <xf numFmtId="0" fontId="25" fillId="8" borderId="30" xfId="0" applyFont="1" applyFill="1" applyBorder="1" applyAlignment="1">
      <alignment vertical="center" wrapText="1"/>
    </xf>
    <xf numFmtId="0" fontId="26" fillId="8" borderId="30" xfId="0" applyFont="1" applyFill="1" applyBorder="1" applyAlignment="1">
      <alignment horizontal="center" vertical="center" wrapText="1"/>
    </xf>
    <xf numFmtId="167" fontId="41" fillId="8" borderId="42" xfId="0" applyNumberFormat="1" applyFont="1" applyFill="1" applyBorder="1" applyAlignment="1">
      <alignment horizontal="center" vertical="center" wrapText="1"/>
    </xf>
    <xf numFmtId="0" fontId="23" fillId="7" borderId="28" xfId="0" applyFont="1" applyFill="1" applyBorder="1" applyAlignment="1">
      <alignment vertical="center" wrapText="1"/>
    </xf>
    <xf numFmtId="0" fontId="70" fillId="0" borderId="35" xfId="0" applyFont="1" applyBorder="1" applyAlignment="1">
      <alignment horizontal="left" vertical="center" wrapText="1"/>
    </xf>
    <xf numFmtId="0" fontId="0" fillId="0" borderId="0" xfId="0" applyAlignment="1">
      <alignment horizontal="center"/>
    </xf>
    <xf numFmtId="0" fontId="47" fillId="0" borderId="0" xfId="0" applyFont="1" applyAlignment="1">
      <alignment horizontal="center" vertical="center"/>
    </xf>
    <xf numFmtId="0" fontId="24" fillId="0" borderId="43" xfId="0" applyFont="1" applyBorder="1" applyAlignment="1">
      <alignment horizontal="center" vertical="center" wrapText="1"/>
    </xf>
    <xf numFmtId="0" fontId="24" fillId="0" borderId="42" xfId="0" applyFont="1" applyBorder="1" applyAlignment="1">
      <alignment horizontal="center" vertical="center" wrapText="1"/>
    </xf>
    <xf numFmtId="0" fontId="32" fillId="0" borderId="30" xfId="0" applyFont="1" applyBorder="1" applyAlignment="1">
      <alignment horizontal="center" vertical="center" wrapText="1"/>
    </xf>
    <xf numFmtId="0" fontId="38" fillId="4" borderId="30" xfId="0" applyFont="1" applyFill="1" applyBorder="1" applyAlignment="1">
      <alignment vertical="center" wrapText="1"/>
    </xf>
    <xf numFmtId="167" fontId="44" fillId="4" borderId="30" xfId="0" applyNumberFormat="1" applyFont="1" applyFill="1" applyBorder="1" applyAlignment="1">
      <alignment horizontal="center" vertical="center" wrapText="1"/>
    </xf>
    <xf numFmtId="167" fontId="41" fillId="0" borderId="30" xfId="0" applyNumberFormat="1" applyFont="1" applyBorder="1" applyAlignment="1">
      <alignment horizontal="center" vertical="center" wrapText="1"/>
    </xf>
    <xf numFmtId="0" fontId="26" fillId="9" borderId="21" xfId="0" applyFont="1" applyFill="1" applyBorder="1" applyAlignment="1">
      <alignment vertical="center" wrapText="1"/>
    </xf>
    <xf numFmtId="0" fontId="38" fillId="0" borderId="30" xfId="0" applyFont="1" applyBorder="1" applyAlignment="1">
      <alignment horizontal="center" vertical="center" wrapText="1"/>
    </xf>
    <xf numFmtId="4" fontId="2" fillId="0" borderId="0" xfId="0" applyNumberFormat="1" applyFont="1" applyAlignment="1">
      <alignment horizontal="right" vertical="center"/>
    </xf>
    <xf numFmtId="2" fontId="2" fillId="0" borderId="0" xfId="0" applyNumberFormat="1" applyFont="1" applyAlignment="1">
      <alignment horizontal="right" vertical="center"/>
    </xf>
    <xf numFmtId="14" fontId="2" fillId="0" borderId="0" xfId="0" applyNumberFormat="1" applyFont="1" applyAlignment="1">
      <alignment horizontal="left" vertical="center"/>
    </xf>
    <xf numFmtId="0" fontId="56" fillId="0" borderId="0" xfId="0" applyFont="1"/>
    <xf numFmtId="0" fontId="58" fillId="0" borderId="0" xfId="0" applyFont="1" applyAlignment="1">
      <alignment horizontal="left" vertical="center"/>
    </xf>
    <xf numFmtId="0" fontId="59" fillId="0" borderId="0" xfId="0" applyFont="1" applyAlignment="1">
      <alignment horizontal="center" vertical="center"/>
    </xf>
    <xf numFmtId="4" fontId="58" fillId="0" borderId="0" xfId="0" applyNumberFormat="1" applyFont="1" applyAlignment="1">
      <alignment horizontal="right" vertical="center"/>
    </xf>
    <xf numFmtId="2" fontId="58" fillId="0" borderId="0" xfId="0" applyNumberFormat="1" applyFont="1" applyAlignment="1">
      <alignment horizontal="right" vertical="center"/>
    </xf>
    <xf numFmtId="14" fontId="58" fillId="0" borderId="0" xfId="0" applyNumberFormat="1" applyFont="1" applyAlignment="1">
      <alignment horizontal="left" vertical="center"/>
    </xf>
    <xf numFmtId="0" fontId="71" fillId="0" borderId="0" xfId="0" applyFont="1"/>
    <xf numFmtId="0" fontId="72" fillId="0" borderId="0" xfId="0" applyFont="1"/>
    <xf numFmtId="0" fontId="48" fillId="0" borderId="0" xfId="0" applyFont="1"/>
    <xf numFmtId="3" fontId="48" fillId="0" borderId="30" xfId="0" applyNumberFormat="1" applyFont="1" applyBorder="1" applyAlignment="1">
      <alignment horizontal="center" vertical="center" wrapText="1"/>
    </xf>
    <xf numFmtId="1" fontId="48" fillId="0" borderId="30" xfId="0" applyNumberFormat="1" applyFont="1" applyBorder="1" applyAlignment="1">
      <alignment horizontal="center" vertical="center" wrapText="1"/>
    </xf>
    <xf numFmtId="0" fontId="36" fillId="5" borderId="27" xfId="0" applyFont="1" applyFill="1" applyBorder="1" applyAlignment="1">
      <alignment horizontal="center" vertical="center" wrapText="1"/>
    </xf>
    <xf numFmtId="0" fontId="36" fillId="5" borderId="28" xfId="0" applyFont="1" applyFill="1" applyBorder="1" applyAlignment="1">
      <alignment horizontal="left" vertical="center" wrapText="1"/>
    </xf>
    <xf numFmtId="0" fontId="36" fillId="5" borderId="28" xfId="0" applyFont="1" applyFill="1" applyBorder="1" applyAlignment="1">
      <alignment vertical="center"/>
    </xf>
    <xf numFmtId="0" fontId="48" fillId="5" borderId="28" xfId="0" applyFont="1" applyFill="1" applyBorder="1" applyAlignment="1">
      <alignment horizontal="center" vertical="center" wrapText="1"/>
    </xf>
    <xf numFmtId="4" fontId="48" fillId="5" borderId="28" xfId="0" applyNumberFormat="1" applyFont="1" applyFill="1" applyBorder="1" applyAlignment="1">
      <alignment horizontal="right" vertical="center" wrapText="1"/>
    </xf>
    <xf numFmtId="2" fontId="48" fillId="5" borderId="28" xfId="0" applyNumberFormat="1" applyFont="1" applyFill="1" applyBorder="1" applyAlignment="1">
      <alignment horizontal="right" vertical="center" wrapText="1"/>
    </xf>
    <xf numFmtId="14" fontId="48" fillId="5" borderId="28" xfId="0" applyNumberFormat="1" applyFont="1" applyFill="1" applyBorder="1" applyAlignment="1">
      <alignment horizontal="center" vertical="center" wrapText="1"/>
    </xf>
    <xf numFmtId="167" fontId="36" fillId="5" borderId="28" xfId="0" applyNumberFormat="1" applyFont="1" applyFill="1" applyBorder="1" applyAlignment="1">
      <alignment horizontal="center" vertical="center" wrapText="1"/>
    </xf>
    <xf numFmtId="0" fontId="48" fillId="5" borderId="35" xfId="0" applyFont="1" applyFill="1" applyBorder="1" applyAlignment="1">
      <alignment horizontal="center" vertical="center" wrapText="1"/>
    </xf>
    <xf numFmtId="0" fontId="48" fillId="0" borderId="0" xfId="0" applyFont="1" applyAlignment="1">
      <alignment wrapText="1"/>
    </xf>
    <xf numFmtId="0" fontId="36" fillId="5" borderId="14" xfId="0" applyFont="1" applyFill="1" applyBorder="1" applyAlignment="1">
      <alignment horizontal="center" vertical="center" wrapText="1"/>
    </xf>
    <xf numFmtId="0" fontId="36" fillId="5" borderId="15" xfId="0" applyFont="1" applyFill="1" applyBorder="1" applyAlignment="1">
      <alignment horizontal="left" vertical="center" wrapText="1"/>
    </xf>
    <xf numFmtId="0" fontId="36" fillId="5" borderId="15" xfId="0" applyFont="1" applyFill="1" applyBorder="1" applyAlignment="1">
      <alignment vertical="center"/>
    </xf>
    <xf numFmtId="0" fontId="48" fillId="5" borderId="15" xfId="0" applyFont="1" applyFill="1" applyBorder="1" applyAlignment="1">
      <alignment horizontal="center" vertical="center" wrapText="1"/>
    </xf>
    <xf numFmtId="4" fontId="48" fillId="5" borderId="15" xfId="0" applyNumberFormat="1" applyFont="1" applyFill="1" applyBorder="1" applyAlignment="1">
      <alignment horizontal="right" vertical="center" wrapText="1"/>
    </xf>
    <xf numFmtId="2" fontId="48" fillId="5" borderId="15" xfId="0" applyNumberFormat="1" applyFont="1" applyFill="1" applyBorder="1" applyAlignment="1">
      <alignment horizontal="right" vertical="center" wrapText="1"/>
    </xf>
    <xf numFmtId="14" fontId="48" fillId="5" borderId="15" xfId="0" applyNumberFormat="1" applyFont="1" applyFill="1" applyBorder="1" applyAlignment="1">
      <alignment horizontal="center" vertical="center" wrapText="1"/>
    </xf>
    <xf numFmtId="167" fontId="36" fillId="5" borderId="15" xfId="0" applyNumberFormat="1" applyFont="1" applyFill="1" applyBorder="1" applyAlignment="1">
      <alignment horizontal="center" vertical="center" wrapText="1"/>
    </xf>
    <xf numFmtId="0" fontId="48" fillId="5" borderId="16" xfId="0" applyFont="1" applyFill="1" applyBorder="1" applyAlignment="1">
      <alignment horizontal="center" vertical="center" wrapText="1"/>
    </xf>
    <xf numFmtId="167" fontId="36" fillId="5" borderId="30" xfId="0" applyNumberFormat="1" applyFont="1" applyFill="1" applyBorder="1" applyAlignment="1">
      <alignment horizontal="center" vertical="center" wrapText="1"/>
    </xf>
    <xf numFmtId="0" fontId="50" fillId="0" borderId="0" xfId="0" applyFont="1" applyAlignment="1">
      <alignment vertical="center"/>
    </xf>
    <xf numFmtId="0" fontId="50" fillId="0" borderId="14" xfId="0" applyFont="1" applyBorder="1" applyAlignment="1">
      <alignment horizontal="center" vertical="center" wrapText="1"/>
    </xf>
    <xf numFmtId="0" fontId="13" fillId="7" borderId="15" xfId="0" applyFont="1" applyFill="1" applyBorder="1" applyAlignment="1">
      <alignment vertical="center" wrapText="1"/>
    </xf>
    <xf numFmtId="14" fontId="50" fillId="0" borderId="15" xfId="0" applyNumberFormat="1" applyFont="1" applyBorder="1" applyAlignment="1">
      <alignment horizontal="center" vertical="center" wrapText="1"/>
    </xf>
    <xf numFmtId="0" fontId="50" fillId="0" borderId="15" xfId="0" applyFont="1" applyBorder="1" applyAlignment="1">
      <alignment horizontal="center" vertical="center" wrapText="1"/>
    </xf>
    <xf numFmtId="0" fontId="50" fillId="0" borderId="15" xfId="0" applyFont="1" applyBorder="1" applyAlignment="1">
      <alignment horizontal="left" vertical="center" wrapText="1"/>
    </xf>
    <xf numFmtId="2" fontId="50" fillId="0" borderId="15" xfId="0" applyNumberFormat="1" applyFont="1" applyBorder="1" applyAlignment="1">
      <alignment horizontal="center" vertical="center" wrapText="1"/>
    </xf>
    <xf numFmtId="9" fontId="50" fillId="0" borderId="15" xfId="0" applyNumberFormat="1" applyFont="1" applyBorder="1" applyAlignment="1">
      <alignment horizontal="center" vertical="center" wrapText="1"/>
    </xf>
    <xf numFmtId="0" fontId="50" fillId="0" borderId="15" xfId="0" applyFont="1" applyBorder="1" applyAlignment="1">
      <alignment horizontal="center" vertical="center"/>
    </xf>
    <xf numFmtId="0" fontId="48" fillId="0" borderId="15" xfId="0" applyFont="1" applyBorder="1" applyAlignment="1">
      <alignment horizontal="center" vertical="center"/>
    </xf>
    <xf numFmtId="167" fontId="41" fillId="7" borderId="15" xfId="0" applyNumberFormat="1" applyFont="1" applyFill="1" applyBorder="1" applyAlignment="1">
      <alignment horizontal="center" vertical="center" wrapText="1"/>
    </xf>
    <xf numFmtId="167" fontId="43" fillId="7" borderId="15" xfId="0" applyNumberFormat="1" applyFont="1" applyFill="1" applyBorder="1" applyAlignment="1">
      <alignment horizontal="center" vertical="center" wrapText="1"/>
    </xf>
    <xf numFmtId="4" fontId="50" fillId="5" borderId="15" xfId="0" applyNumberFormat="1" applyFont="1" applyFill="1" applyBorder="1" applyAlignment="1">
      <alignment horizontal="right" vertical="center" wrapText="1"/>
    </xf>
    <xf numFmtId="2" fontId="50" fillId="5" borderId="15" xfId="0" applyNumberFormat="1" applyFont="1" applyFill="1" applyBorder="1" applyAlignment="1">
      <alignment horizontal="right" vertical="center" wrapText="1"/>
    </xf>
    <xf numFmtId="3" fontId="36" fillId="5" borderId="15" xfId="0" applyNumberFormat="1" applyFont="1" applyFill="1" applyBorder="1" applyAlignment="1">
      <alignment horizontal="center" vertical="center" wrapText="1"/>
    </xf>
    <xf numFmtId="3" fontId="36" fillId="5" borderId="15" xfId="0" applyNumberFormat="1" applyFont="1" applyFill="1" applyBorder="1" applyAlignment="1">
      <alignment horizontal="right" vertical="center" wrapText="1"/>
    </xf>
    <xf numFmtId="4" fontId="50" fillId="0" borderId="15" xfId="0" applyNumberFormat="1" applyFont="1" applyBorder="1" applyAlignment="1">
      <alignment horizontal="right" vertical="center" wrapText="1"/>
    </xf>
    <xf numFmtId="0" fontId="50" fillId="0" borderId="17" xfId="0" applyFont="1" applyBorder="1" applyAlignment="1">
      <alignment horizontal="center" vertical="center" wrapText="1"/>
    </xf>
    <xf numFmtId="0" fontId="13" fillId="7" borderId="18" xfId="0" applyFont="1" applyFill="1" applyBorder="1" applyAlignment="1">
      <alignment vertical="center" wrapText="1"/>
    </xf>
    <xf numFmtId="14" fontId="50" fillId="0" borderId="18" xfId="0" applyNumberFormat="1" applyFont="1" applyBorder="1" applyAlignment="1">
      <alignment horizontal="center" vertical="center" wrapText="1"/>
    </xf>
    <xf numFmtId="0" fontId="50" fillId="0" borderId="18" xfId="0" applyFont="1" applyBorder="1" applyAlignment="1">
      <alignment horizontal="center" vertical="center" wrapText="1"/>
    </xf>
    <xf numFmtId="0" fontId="50" fillId="0" borderId="18" xfId="0" applyFont="1" applyBorder="1" applyAlignment="1">
      <alignment horizontal="left" vertical="center" wrapText="1"/>
    </xf>
    <xf numFmtId="2" fontId="50" fillId="0" borderId="18" xfId="0" applyNumberFormat="1" applyFont="1" applyBorder="1" applyAlignment="1">
      <alignment horizontal="center" vertical="center" wrapText="1"/>
    </xf>
    <xf numFmtId="9" fontId="50" fillId="0" borderId="18" xfId="0" applyNumberFormat="1" applyFont="1" applyBorder="1" applyAlignment="1">
      <alignment horizontal="center" vertical="center" wrapText="1"/>
    </xf>
    <xf numFmtId="164" fontId="50" fillId="0" borderId="18" xfId="0" applyNumberFormat="1" applyFont="1" applyBorder="1" applyAlignment="1">
      <alignment horizontal="center" vertical="center" wrapText="1"/>
    </xf>
    <xf numFmtId="0" fontId="50" fillId="0" borderId="18" xfId="0" applyFont="1" applyBorder="1" applyAlignment="1">
      <alignment horizontal="center" vertical="center"/>
    </xf>
    <xf numFmtId="0" fontId="48" fillId="0" borderId="18" xfId="0" applyFont="1" applyBorder="1" applyAlignment="1">
      <alignment horizontal="center" vertical="center"/>
    </xf>
    <xf numFmtId="167" fontId="41" fillId="7" borderId="18" xfId="0" applyNumberFormat="1" applyFont="1" applyFill="1" applyBorder="1" applyAlignment="1">
      <alignment horizontal="center" vertical="center" wrapText="1"/>
    </xf>
    <xf numFmtId="0" fontId="48" fillId="0" borderId="19" xfId="0" applyFont="1" applyBorder="1" applyAlignment="1">
      <alignment horizontal="left" vertical="center" wrapText="1"/>
    </xf>
    <xf numFmtId="0" fontId="6" fillId="0" borderId="25" xfId="0" applyFont="1" applyBorder="1" applyAlignment="1">
      <alignment horizontal="center" vertical="center" wrapText="1"/>
    </xf>
    <xf numFmtId="0" fontId="29" fillId="0" borderId="24" xfId="0" applyFont="1" applyBorder="1" applyAlignment="1">
      <alignment horizontal="center" vertical="center" wrapText="1"/>
    </xf>
    <xf numFmtId="0" fontId="6" fillId="0" borderId="24" xfId="0" applyFont="1" applyBorder="1" applyAlignment="1">
      <alignment horizontal="center" vertical="center" wrapText="1"/>
    </xf>
    <xf numFmtId="4" fontId="6" fillId="0" borderId="24" xfId="0" applyNumberFormat="1" applyFont="1" applyBorder="1" applyAlignment="1">
      <alignment horizontal="right" vertical="center" wrapText="1"/>
    </xf>
    <xf numFmtId="2" fontId="6" fillId="0" borderId="24" xfId="0" applyNumberFormat="1" applyFont="1" applyBorder="1" applyAlignment="1">
      <alignment horizontal="right" vertical="center" wrapText="1"/>
    </xf>
    <xf numFmtId="14" fontId="6" fillId="0" borderId="24" xfId="0" applyNumberFormat="1" applyFont="1" applyBorder="1" applyAlignment="1">
      <alignment horizontal="center" vertical="center" wrapText="1"/>
    </xf>
    <xf numFmtId="167" fontId="36" fillId="0" borderId="24" xfId="0" applyNumberFormat="1" applyFont="1" applyBorder="1" applyAlignment="1">
      <alignment horizontal="center" vertical="center" wrapText="1"/>
    </xf>
    <xf numFmtId="0" fontId="6" fillId="0" borderId="26" xfId="0" applyFont="1" applyBorder="1" applyAlignment="1">
      <alignment horizontal="center" vertical="center" wrapText="1"/>
    </xf>
    <xf numFmtId="4" fontId="0" fillId="0" borderId="0" xfId="0" applyNumberFormat="1" applyAlignment="1">
      <alignment horizontal="right"/>
    </xf>
    <xf numFmtId="2" fontId="0" fillId="0" borderId="0" xfId="0" applyNumberFormat="1" applyAlignment="1">
      <alignment horizontal="right"/>
    </xf>
    <xf numFmtId="0" fontId="73" fillId="0" borderId="0" xfId="0" applyFont="1"/>
    <xf numFmtId="167" fontId="61" fillId="0" borderId="0" xfId="0" applyNumberFormat="1" applyFont="1"/>
    <xf numFmtId="0" fontId="28" fillId="0" borderId="30" xfId="0" applyFont="1" applyBorder="1" applyAlignment="1">
      <alignment horizontal="center" vertical="center" wrapText="1"/>
    </xf>
    <xf numFmtId="0" fontId="40" fillId="0" borderId="30" xfId="0" applyFont="1" applyBorder="1" applyAlignment="1">
      <alignment horizontal="center" vertical="center" wrapText="1"/>
    </xf>
    <xf numFmtId="167" fontId="48" fillId="0" borderId="0" xfId="0" applyNumberFormat="1" applyFont="1" applyAlignment="1">
      <alignment wrapText="1"/>
    </xf>
    <xf numFmtId="0" fontId="70" fillId="7" borderId="28" xfId="0" applyFont="1" applyFill="1" applyBorder="1" applyAlignment="1">
      <alignment vertical="center" wrapText="1"/>
    </xf>
    <xf numFmtId="14" fontId="26" fillId="7" borderId="28" xfId="0" applyNumberFormat="1" applyFont="1" applyFill="1" applyBorder="1" applyAlignment="1">
      <alignment horizontal="center" vertical="center" wrapText="1"/>
    </xf>
    <xf numFmtId="2" fontId="26" fillId="7" borderId="28" xfId="0" applyNumberFormat="1" applyFont="1" applyFill="1" applyBorder="1" applyAlignment="1">
      <alignment horizontal="center" vertical="center" wrapText="1"/>
    </xf>
    <xf numFmtId="0" fontId="27" fillId="0" borderId="0" xfId="0" applyFont="1" applyAlignment="1">
      <alignment wrapText="1"/>
    </xf>
    <xf numFmtId="0" fontId="55" fillId="0" borderId="0" xfId="0" applyFont="1" applyAlignment="1">
      <alignment horizontal="center" vertical="center"/>
    </xf>
    <xf numFmtId="0" fontId="49" fillId="0" borderId="44" xfId="0" applyFont="1" applyBorder="1" applyAlignment="1">
      <alignment horizontal="center" vertical="center" wrapText="1"/>
    </xf>
    <xf numFmtId="0" fontId="64" fillId="0" borderId="30" xfId="0" applyFont="1" applyBorder="1" applyAlignment="1">
      <alignment horizontal="center" vertical="center" wrapText="1"/>
    </xf>
    <xf numFmtId="167" fontId="48" fillId="0" borderId="0" xfId="0" applyNumberFormat="1" applyFont="1"/>
    <xf numFmtId="0" fontId="50" fillId="0" borderId="29" xfId="0" applyFont="1" applyBorder="1" applyAlignment="1">
      <alignment horizontal="center" vertical="center" wrapText="1"/>
    </xf>
    <xf numFmtId="0" fontId="13" fillId="7" borderId="30" xfId="0" applyFont="1" applyFill="1" applyBorder="1" applyAlignment="1">
      <alignment vertical="center" wrapText="1"/>
    </xf>
    <xf numFmtId="14" fontId="50" fillId="0" borderId="30" xfId="0" applyNumberFormat="1" applyFont="1" applyBorder="1" applyAlignment="1">
      <alignment horizontal="center" vertical="center" wrapText="1"/>
    </xf>
    <xf numFmtId="0" fontId="50" fillId="0" borderId="30" xfId="0" applyFont="1" applyBorder="1" applyAlignment="1">
      <alignment horizontal="center" vertical="center" wrapText="1"/>
    </xf>
    <xf numFmtId="0" fontId="50" fillId="0" borderId="30" xfId="0" applyFont="1" applyBorder="1" applyAlignment="1">
      <alignment horizontal="left" vertical="center" wrapText="1"/>
    </xf>
    <xf numFmtId="2" fontId="50" fillId="0" borderId="30" xfId="0" applyNumberFormat="1" applyFont="1" applyBorder="1" applyAlignment="1">
      <alignment horizontal="center" vertical="center" wrapText="1"/>
    </xf>
    <xf numFmtId="9" fontId="50" fillId="0" borderId="30" xfId="0" applyNumberFormat="1" applyFont="1" applyBorder="1" applyAlignment="1">
      <alignment horizontal="center" vertical="center" wrapText="1"/>
    </xf>
    <xf numFmtId="164" fontId="50" fillId="0" borderId="30" xfId="0" applyNumberFormat="1" applyFont="1" applyBorder="1" applyAlignment="1">
      <alignment horizontal="center" vertical="center" wrapText="1"/>
    </xf>
    <xf numFmtId="164" fontId="50" fillId="0" borderId="28" xfId="0" applyNumberFormat="1" applyFont="1" applyBorder="1" applyAlignment="1">
      <alignment horizontal="center" vertical="center" wrapText="1"/>
    </xf>
    <xf numFmtId="0" fontId="50" fillId="0" borderId="28" xfId="0" applyFont="1" applyBorder="1" applyAlignment="1">
      <alignment horizontal="center" vertical="center" wrapText="1"/>
    </xf>
    <xf numFmtId="14" fontId="50" fillId="0" borderId="28" xfId="0" applyNumberFormat="1" applyFont="1" applyBorder="1" applyAlignment="1">
      <alignment horizontal="center" vertical="center" wrapText="1"/>
    </xf>
    <xf numFmtId="0" fontId="50" fillId="0" borderId="30" xfId="0" applyFont="1" applyBorder="1" applyAlignment="1">
      <alignment horizontal="center" vertical="center"/>
    </xf>
    <xf numFmtId="0" fontId="48" fillId="0" borderId="30" xfId="0" applyFont="1" applyBorder="1" applyAlignment="1">
      <alignment horizontal="center" vertical="center"/>
    </xf>
    <xf numFmtId="167" fontId="41" fillId="7" borderId="28" xfId="0" applyNumberFormat="1" applyFont="1" applyFill="1" applyBorder="1" applyAlignment="1">
      <alignment horizontal="center" vertical="center" wrapText="1"/>
    </xf>
    <xf numFmtId="167" fontId="43" fillId="7" borderId="28" xfId="0" applyNumberFormat="1" applyFont="1" applyFill="1" applyBorder="1" applyAlignment="1">
      <alignment horizontal="center" vertical="center" wrapText="1"/>
    </xf>
    <xf numFmtId="0" fontId="48" fillId="0" borderId="31" xfId="0" applyFont="1" applyBorder="1" applyAlignment="1">
      <alignment horizontal="left" vertical="center" wrapText="1"/>
    </xf>
    <xf numFmtId="4" fontId="50" fillId="0" borderId="30" xfId="0" applyNumberFormat="1" applyFont="1" applyBorder="1" applyAlignment="1">
      <alignment horizontal="right" vertical="center" wrapText="1"/>
    </xf>
    <xf numFmtId="167" fontId="36" fillId="0" borderId="30" xfId="0" applyNumberFormat="1" applyFont="1" applyBorder="1" applyAlignment="1">
      <alignment horizontal="center" vertical="center" wrapText="1"/>
    </xf>
    <xf numFmtId="167" fontId="48" fillId="0" borderId="30" xfId="0" applyNumberFormat="1" applyFont="1" applyBorder="1" applyAlignment="1">
      <alignment horizontal="center" vertical="center" wrapText="1"/>
    </xf>
    <xf numFmtId="167" fontId="48" fillId="0" borderId="30" xfId="0" applyNumberFormat="1" applyFont="1" applyBorder="1" applyAlignment="1">
      <alignment vertical="center" wrapText="1"/>
    </xf>
    <xf numFmtId="4" fontId="48" fillId="0" borderId="30" xfId="0" applyNumberFormat="1" applyFont="1" applyBorder="1" applyAlignment="1">
      <alignment horizontal="right" vertical="center" wrapText="1"/>
    </xf>
    <xf numFmtId="164" fontId="48" fillId="0" borderId="30" xfId="0" applyNumberFormat="1" applyFont="1" applyBorder="1" applyAlignment="1">
      <alignment horizontal="right" vertical="center" wrapText="1"/>
    </xf>
    <xf numFmtId="14" fontId="48" fillId="0" borderId="30" xfId="0" applyNumberFormat="1" applyFont="1" applyBorder="1" applyAlignment="1">
      <alignment horizontal="center" vertical="center" wrapText="1"/>
    </xf>
    <xf numFmtId="14" fontId="26" fillId="7" borderId="21" xfId="0" applyNumberFormat="1" applyFont="1" applyFill="1" applyBorder="1" applyAlignment="1">
      <alignment horizontal="center" vertical="center" wrapText="1"/>
    </xf>
    <xf numFmtId="0" fontId="74" fillId="0" borderId="0" xfId="0" applyFont="1"/>
    <xf numFmtId="0" fontId="75" fillId="0" borderId="0" xfId="0" applyFont="1" applyAlignment="1">
      <alignment horizontal="left" vertical="center"/>
    </xf>
    <xf numFmtId="0" fontId="25" fillId="7" borderId="0" xfId="0" applyFont="1" applyFill="1" applyAlignment="1">
      <alignment horizontal="left" vertical="center"/>
    </xf>
    <xf numFmtId="0" fontId="76" fillId="0" borderId="0" xfId="0" applyFont="1" applyAlignment="1">
      <alignment horizontal="left" vertical="center"/>
    </xf>
    <xf numFmtId="0" fontId="54" fillId="7" borderId="0" xfId="0" applyFont="1" applyFill="1" applyAlignment="1">
      <alignment horizontal="left" vertical="center"/>
    </xf>
    <xf numFmtId="0" fontId="77" fillId="7" borderId="0" xfId="0" applyFont="1" applyFill="1"/>
    <xf numFmtId="0" fontId="77" fillId="0" borderId="0" xfId="0" applyFont="1"/>
    <xf numFmtId="0" fontId="66" fillId="0" borderId="39" xfId="0" applyFont="1" applyBorder="1" applyAlignment="1">
      <alignment horizontal="center" vertical="center" textRotation="90" wrapText="1"/>
    </xf>
    <xf numFmtId="0" fontId="66" fillId="0" borderId="39" xfId="0" applyFont="1" applyBorder="1" applyAlignment="1">
      <alignment horizontal="center" vertical="center" wrapText="1"/>
    </xf>
    <xf numFmtId="0" fontId="66" fillId="7" borderId="39" xfId="0" applyFont="1" applyFill="1" applyBorder="1" applyAlignment="1">
      <alignment horizontal="center" vertical="center" wrapText="1"/>
    </xf>
    <xf numFmtId="0" fontId="66" fillId="7" borderId="39" xfId="0" applyFont="1" applyFill="1" applyBorder="1" applyAlignment="1">
      <alignment horizontal="center" vertical="center" textRotation="90" wrapText="1"/>
    </xf>
    <xf numFmtId="0" fontId="67" fillId="0" borderId="39" xfId="0" applyFont="1" applyBorder="1" applyAlignment="1">
      <alignment horizontal="center" vertical="center" wrapText="1"/>
    </xf>
    <xf numFmtId="0" fontId="42" fillId="7" borderId="39" xfId="0" applyFont="1" applyFill="1" applyBorder="1" applyAlignment="1">
      <alignment horizontal="center" vertical="center" wrapText="1"/>
    </xf>
    <xf numFmtId="0" fontId="23" fillId="7" borderId="39" xfId="0" applyFont="1" applyFill="1" applyBorder="1" applyAlignment="1">
      <alignment horizontal="center" vertical="center" wrapText="1"/>
    </xf>
    <xf numFmtId="0" fontId="26" fillId="0" borderId="0" xfId="0" applyFont="1" applyAlignment="1">
      <alignment horizontal="center" vertical="center"/>
    </xf>
    <xf numFmtId="0" fontId="23" fillId="0" borderId="29" xfId="0" applyFont="1" applyBorder="1" applyAlignment="1">
      <alignment horizontal="center" vertical="center" wrapText="1"/>
    </xf>
    <xf numFmtId="0" fontId="23" fillId="7" borderId="30" xfId="0" applyFont="1" applyFill="1" applyBorder="1" applyAlignment="1">
      <alignment horizontal="center" vertical="center" wrapText="1"/>
    </xf>
    <xf numFmtId="0" fontId="77" fillId="0" borderId="0" xfId="0" applyFont="1" applyAlignment="1">
      <alignment horizontal="center"/>
    </xf>
    <xf numFmtId="0" fontId="25" fillId="8" borderId="29" xfId="0" applyFont="1" applyFill="1" applyBorder="1" applyAlignment="1">
      <alignment horizontal="center" vertical="center" wrapText="1"/>
    </xf>
    <xf numFmtId="0" fontId="78" fillId="8" borderId="30" xfId="0" applyFont="1" applyFill="1" applyBorder="1" applyAlignment="1">
      <alignment horizontal="center" vertical="center" wrapText="1"/>
    </xf>
    <xf numFmtId="0" fontId="78" fillId="8" borderId="30" xfId="0" applyFont="1" applyFill="1" applyBorder="1" applyAlignment="1">
      <alignment horizontal="left" vertical="center" wrapText="1"/>
    </xf>
    <xf numFmtId="0" fontId="78" fillId="0" borderId="28" xfId="0" applyFont="1" applyBorder="1" applyAlignment="1">
      <alignment horizontal="center" vertical="center" wrapText="1"/>
    </xf>
    <xf numFmtId="0" fontId="26" fillId="7" borderId="21" xfId="0" applyFont="1" applyFill="1" applyBorder="1" applyAlignment="1">
      <alignment horizontal="center" vertical="center" wrapText="1"/>
    </xf>
    <xf numFmtId="9" fontId="26" fillId="0" borderId="21" xfId="1" applyNumberFormat="1" applyFont="1" applyFill="1" applyBorder="1" applyAlignment="1">
      <alignment horizontal="center" vertical="center" wrapText="1"/>
    </xf>
    <xf numFmtId="9" fontId="26" fillId="7" borderId="21" xfId="0" applyNumberFormat="1" applyFont="1" applyFill="1" applyBorder="1" applyAlignment="1">
      <alignment horizontal="center" vertical="center" wrapText="1"/>
    </xf>
    <xf numFmtId="167" fontId="26" fillId="7" borderId="15" xfId="1" applyNumberFormat="1" applyFont="1" applyFill="1" applyBorder="1" applyAlignment="1">
      <alignment horizontal="center" vertical="center" wrapText="1"/>
    </xf>
    <xf numFmtId="0" fontId="69" fillId="0" borderId="0" xfId="0" applyFont="1"/>
    <xf numFmtId="0" fontId="78" fillId="0" borderId="15" xfId="0" applyFont="1" applyBorder="1" applyAlignment="1">
      <alignment vertical="center" wrapText="1"/>
    </xf>
    <xf numFmtId="0" fontId="78" fillId="0" borderId="15" xfId="0" applyFont="1" applyBorder="1" applyAlignment="1">
      <alignment horizontal="left" vertical="center" wrapText="1"/>
    </xf>
    <xf numFmtId="2" fontId="78" fillId="0" borderId="15" xfId="0" applyNumberFormat="1" applyFont="1" applyBorder="1" applyAlignment="1">
      <alignment horizontal="center" vertical="center" wrapText="1"/>
    </xf>
    <xf numFmtId="14" fontId="78" fillId="0" borderId="15" xfId="0" applyNumberFormat="1" applyFont="1" applyBorder="1" applyAlignment="1">
      <alignment horizontal="center" vertical="center" wrapText="1"/>
    </xf>
    <xf numFmtId="0" fontId="78" fillId="0" borderId="15" xfId="0" applyFont="1" applyBorder="1" applyAlignment="1">
      <alignment horizontal="center" vertical="center" wrapText="1"/>
    </xf>
    <xf numFmtId="9" fontId="78" fillId="0" borderId="15" xfId="0" applyNumberFormat="1" applyFont="1" applyBorder="1" applyAlignment="1">
      <alignment horizontal="center" vertical="center" wrapText="1"/>
    </xf>
    <xf numFmtId="0" fontId="25" fillId="0" borderId="17" xfId="0" applyFont="1" applyBorder="1" applyAlignment="1">
      <alignment horizontal="center" vertical="center" wrapText="1"/>
    </xf>
    <xf numFmtId="0" fontId="25" fillId="7" borderId="18" xfId="0" applyFont="1" applyFill="1" applyBorder="1" applyAlignment="1">
      <alignment vertical="center" wrapText="1"/>
    </xf>
    <xf numFmtId="0" fontId="25" fillId="0" borderId="18" xfId="0" applyFont="1" applyBorder="1" applyAlignment="1">
      <alignment horizontal="center" vertical="center" wrapText="1"/>
    </xf>
    <xf numFmtId="0" fontId="75" fillId="0" borderId="18" xfId="0" applyFont="1" applyBorder="1" applyAlignment="1">
      <alignment horizontal="center" vertical="center" wrapText="1"/>
    </xf>
    <xf numFmtId="0" fontId="75" fillId="0" borderId="18" xfId="0" applyFont="1" applyBorder="1" applyAlignment="1">
      <alignment horizontal="left" vertical="center" wrapText="1"/>
    </xf>
    <xf numFmtId="2" fontId="25" fillId="0" borderId="18" xfId="0" applyNumberFormat="1" applyFont="1" applyBorder="1" applyAlignment="1">
      <alignment horizontal="center" vertical="center" wrapText="1"/>
    </xf>
    <xf numFmtId="0" fontId="26" fillId="7" borderId="0" xfId="0" applyFont="1" applyFill="1"/>
    <xf numFmtId="0" fontId="26" fillId="0" borderId="0" xfId="0" applyFont="1"/>
    <xf numFmtId="0" fontId="78" fillId="0" borderId="0" xfId="0" applyFont="1"/>
    <xf numFmtId="0" fontId="78" fillId="0" borderId="0" xfId="0" applyFont="1" applyAlignment="1">
      <alignment horizontal="left"/>
    </xf>
    <xf numFmtId="0" fontId="23" fillId="7" borderId="21" xfId="0" applyFont="1" applyFill="1" applyBorder="1" applyAlignment="1">
      <alignment vertical="center" wrapText="1"/>
    </xf>
    <xf numFmtId="0" fontId="78" fillId="0" borderId="21" xfId="0" applyFont="1" applyBorder="1" applyAlignment="1">
      <alignment horizontal="center" vertical="center" wrapText="1"/>
    </xf>
    <xf numFmtId="167" fontId="41" fillId="7" borderId="21" xfId="0" applyNumberFormat="1" applyFont="1" applyFill="1" applyBorder="1" applyAlignment="1">
      <alignment horizontal="center" vertical="center" wrapText="1"/>
    </xf>
    <xf numFmtId="0" fontId="25" fillId="0" borderId="15" xfId="0" applyFont="1" applyBorder="1" applyAlignment="1">
      <alignment horizontal="center" vertical="center" wrapText="1"/>
    </xf>
    <xf numFmtId="0" fontId="25" fillId="7" borderId="21" xfId="0" applyFont="1" applyFill="1" applyBorder="1" applyAlignment="1">
      <alignment horizontal="center" vertical="center" wrapText="1"/>
    </xf>
    <xf numFmtId="0" fontId="25" fillId="0" borderId="21" xfId="0" applyFont="1" applyBorder="1" applyAlignment="1">
      <alignment horizontal="center" vertical="center" wrapText="1"/>
    </xf>
    <xf numFmtId="9" fontId="25" fillId="0" borderId="21" xfId="1" applyNumberFormat="1" applyFont="1" applyFill="1" applyBorder="1" applyAlignment="1">
      <alignment horizontal="center" vertical="center" wrapText="1"/>
    </xf>
    <xf numFmtId="9" fontId="25" fillId="7" borderId="21" xfId="0" applyNumberFormat="1" applyFont="1" applyFill="1" applyBorder="1" applyAlignment="1">
      <alignment horizontal="center" vertical="center" wrapText="1"/>
    </xf>
    <xf numFmtId="2" fontId="25" fillId="0" borderId="15" xfId="0" applyNumberFormat="1" applyFont="1" applyBorder="1" applyAlignment="1">
      <alignment horizontal="center" vertical="center" wrapText="1"/>
    </xf>
    <xf numFmtId="167" fontId="25" fillId="7" borderId="15" xfId="1" applyNumberFormat="1" applyFont="1" applyFill="1" applyBorder="1" applyAlignment="1">
      <alignment horizontal="center" vertical="center" wrapText="1"/>
    </xf>
    <xf numFmtId="167" fontId="25" fillId="0" borderId="15" xfId="1" applyNumberFormat="1" applyFont="1" applyFill="1" applyBorder="1" applyAlignment="1">
      <alignment horizontal="center" vertical="center" wrapText="1"/>
    </xf>
    <xf numFmtId="164" fontId="25" fillId="0" borderId="21" xfId="0" applyNumberFormat="1" applyFont="1" applyBorder="1" applyAlignment="1">
      <alignment horizontal="center" vertical="center" wrapText="1"/>
    </xf>
    <xf numFmtId="167" fontId="53" fillId="0" borderId="0" xfId="0" applyNumberFormat="1" applyFont="1"/>
    <xf numFmtId="167" fontId="36" fillId="9" borderId="30" xfId="0" applyNumberFormat="1" applyFont="1" applyFill="1" applyBorder="1" applyAlignment="1">
      <alignment horizontal="center" vertical="center" wrapText="1"/>
    </xf>
    <xf numFmtId="0" fontId="17" fillId="0" borderId="0" xfId="0" applyFont="1" applyAlignment="1">
      <alignment vertical="center"/>
    </xf>
    <xf numFmtId="0" fontId="59" fillId="0" borderId="0" xfId="0" applyFont="1" applyAlignment="1">
      <alignment vertical="center"/>
    </xf>
    <xf numFmtId="14" fontId="23" fillId="7" borderId="28" xfId="0" applyNumberFormat="1" applyFont="1" applyFill="1" applyBorder="1" applyAlignment="1">
      <alignment horizontal="center" vertical="center" wrapText="1"/>
    </xf>
    <xf numFmtId="0" fontId="23" fillId="7" borderId="28" xfId="0" applyFont="1" applyFill="1" applyBorder="1" applyAlignment="1">
      <alignment horizontal="center" vertical="center" wrapText="1"/>
    </xf>
    <xf numFmtId="9" fontId="23" fillId="0" borderId="28" xfId="0" applyNumberFormat="1" applyFont="1" applyBorder="1" applyAlignment="1">
      <alignment horizontal="center" vertical="center" wrapText="1"/>
    </xf>
    <xf numFmtId="14" fontId="23" fillId="0" borderId="28" xfId="0" quotePrefix="1" applyNumberFormat="1" applyFont="1" applyBorder="1" applyAlignment="1">
      <alignment horizontal="center" vertical="center" wrapText="1"/>
    </xf>
    <xf numFmtId="14" fontId="23" fillId="0" borderId="28" xfId="0" applyNumberFormat="1" applyFont="1" applyBorder="1" applyAlignment="1">
      <alignment horizontal="center" vertical="center" wrapText="1"/>
    </xf>
    <xf numFmtId="0" fontId="23" fillId="0" borderId="28" xfId="0" applyFont="1" applyBorder="1" applyAlignment="1">
      <alignment horizontal="center" vertical="center" wrapText="1"/>
    </xf>
    <xf numFmtId="2" fontId="23" fillId="0" borderId="28" xfId="0" applyNumberFormat="1" applyFont="1" applyBorder="1" applyAlignment="1">
      <alignment horizontal="center" vertical="center" wrapText="1"/>
    </xf>
    <xf numFmtId="14" fontId="26" fillId="0" borderId="28" xfId="0" quotePrefix="1" applyNumberFormat="1" applyFont="1" applyBorder="1" applyAlignment="1">
      <alignment horizontal="center" vertical="center" wrapText="1"/>
    </xf>
    <xf numFmtId="164" fontId="27" fillId="0" borderId="0" xfId="0" applyNumberFormat="1" applyFont="1"/>
    <xf numFmtId="164" fontId="26" fillId="0" borderId="18" xfId="0" applyNumberFormat="1" applyFont="1" applyBorder="1" applyAlignment="1">
      <alignment horizontal="center" vertical="center" wrapText="1"/>
    </xf>
    <xf numFmtId="0" fontId="70" fillId="7" borderId="21" xfId="0" applyFont="1" applyFill="1" applyBorder="1" applyAlignment="1">
      <alignment vertical="center" wrapText="1"/>
    </xf>
    <xf numFmtId="2" fontId="26" fillId="7" borderId="21" xfId="0" applyNumberFormat="1" applyFont="1" applyFill="1" applyBorder="1" applyAlignment="1">
      <alignment horizontal="center" vertical="center" wrapText="1"/>
    </xf>
    <xf numFmtId="0" fontId="48" fillId="0" borderId="30" xfId="0" applyFont="1" applyBorder="1" applyAlignment="1">
      <alignment horizontal="left" vertical="center" wrapText="1"/>
    </xf>
    <xf numFmtId="0" fontId="25" fillId="10" borderId="0" xfId="0" applyFont="1" applyFill="1" applyAlignment="1">
      <alignment horizontal="left" vertical="center"/>
    </xf>
    <xf numFmtId="0" fontId="54" fillId="10" borderId="0" xfId="0" applyFont="1" applyFill="1" applyAlignment="1">
      <alignment horizontal="left" vertical="center"/>
    </xf>
    <xf numFmtId="0" fontId="66" fillId="10" borderId="39" xfId="0" applyFont="1" applyFill="1" applyBorder="1" applyAlignment="1">
      <alignment horizontal="center" vertical="center" wrapText="1"/>
    </xf>
    <xf numFmtId="0" fontId="66" fillId="10" borderId="39" xfId="0" applyFont="1" applyFill="1" applyBorder="1" applyAlignment="1">
      <alignment horizontal="center" vertical="center" textRotation="90" wrapText="1"/>
    </xf>
    <xf numFmtId="0" fontId="23" fillId="10" borderId="30" xfId="0" applyFont="1" applyFill="1" applyBorder="1" applyAlignment="1">
      <alignment horizontal="center" vertical="center" wrapText="1"/>
    </xf>
    <xf numFmtId="0" fontId="26" fillId="10" borderId="30" xfId="0" applyFont="1" applyFill="1" applyBorder="1" applyAlignment="1">
      <alignment horizontal="center" vertical="center" wrapText="1"/>
    </xf>
    <xf numFmtId="14" fontId="26" fillId="10" borderId="28" xfId="0" applyNumberFormat="1" applyFont="1" applyFill="1" applyBorder="1" applyAlignment="1">
      <alignment horizontal="center" vertical="center" wrapText="1"/>
    </xf>
    <xf numFmtId="14" fontId="26" fillId="10" borderId="15" xfId="0" applyNumberFormat="1" applyFont="1" applyFill="1" applyBorder="1" applyAlignment="1">
      <alignment horizontal="center" vertical="center" wrapText="1"/>
    </xf>
    <xf numFmtId="0" fontId="26" fillId="10" borderId="15" xfId="0" applyFont="1" applyFill="1" applyBorder="1" applyAlignment="1">
      <alignment horizontal="center" vertical="center" wrapText="1"/>
    </xf>
    <xf numFmtId="0" fontId="26" fillId="10" borderId="21" xfId="0" applyFont="1" applyFill="1" applyBorder="1" applyAlignment="1">
      <alignment horizontal="center" vertical="center" wrapText="1"/>
    </xf>
    <xf numFmtId="9" fontId="26" fillId="10" borderId="21" xfId="1" applyNumberFormat="1" applyFont="1" applyFill="1" applyBorder="1" applyAlignment="1">
      <alignment horizontal="center" vertical="center" wrapText="1"/>
    </xf>
    <xf numFmtId="9" fontId="26" fillId="10" borderId="21" xfId="0" applyNumberFormat="1" applyFont="1" applyFill="1" applyBorder="1" applyAlignment="1">
      <alignment horizontal="center" vertical="center" wrapText="1"/>
    </xf>
    <xf numFmtId="2" fontId="26" fillId="10" borderId="15" xfId="0" applyNumberFormat="1" applyFont="1" applyFill="1" applyBorder="1" applyAlignment="1">
      <alignment horizontal="center" vertical="center" wrapText="1"/>
    </xf>
    <xf numFmtId="167" fontId="26" fillId="10" borderId="15" xfId="1" applyNumberFormat="1" applyFont="1" applyFill="1" applyBorder="1" applyAlignment="1">
      <alignment horizontal="center" vertical="center" wrapText="1"/>
    </xf>
    <xf numFmtId="14" fontId="25" fillId="10" borderId="18" xfId="0" applyNumberFormat="1" applyFont="1" applyFill="1" applyBorder="1" applyAlignment="1">
      <alignment horizontal="center" vertical="center" wrapText="1"/>
    </xf>
    <xf numFmtId="0" fontId="25" fillId="10" borderId="18" xfId="0" applyFont="1" applyFill="1" applyBorder="1" applyAlignment="1">
      <alignment horizontal="center" vertical="center" wrapText="1"/>
    </xf>
    <xf numFmtId="2" fontId="25" fillId="10" borderId="18" xfId="0" applyNumberFormat="1" applyFont="1" applyFill="1" applyBorder="1" applyAlignment="1">
      <alignment horizontal="center" vertical="center" wrapText="1"/>
    </xf>
    <xf numFmtId="167" fontId="25" fillId="10" borderId="18" xfId="1" applyNumberFormat="1" applyFont="1" applyFill="1" applyBorder="1" applyAlignment="1">
      <alignment horizontal="center" vertical="center" wrapText="1"/>
    </xf>
    <xf numFmtId="0" fontId="26" fillId="10" borderId="0" xfId="0" applyFont="1" applyFill="1"/>
    <xf numFmtId="14" fontId="26" fillId="10" borderId="60" xfId="0" applyNumberFormat="1" applyFont="1" applyFill="1" applyBorder="1" applyAlignment="1">
      <alignment horizontal="center" vertical="center" wrapText="1"/>
    </xf>
    <xf numFmtId="14" fontId="26" fillId="10" borderId="52" xfId="0" applyNumberFormat="1" applyFont="1" applyFill="1" applyBorder="1" applyAlignment="1">
      <alignment horizontal="center" vertical="center" wrapText="1"/>
    </xf>
    <xf numFmtId="14" fontId="78" fillId="0" borderId="50" xfId="0" applyNumberFormat="1" applyFont="1" applyBorder="1" applyAlignment="1">
      <alignment horizontal="center" vertical="center" wrapText="1"/>
    </xf>
    <xf numFmtId="0" fontId="80" fillId="0" borderId="0" xfId="0" applyFont="1" applyAlignment="1">
      <alignment vertical="center"/>
    </xf>
    <xf numFmtId="0" fontId="80" fillId="0" borderId="14" xfId="0" applyFont="1" applyBorder="1" applyAlignment="1">
      <alignment horizontal="center" vertical="center" wrapText="1"/>
    </xf>
    <xf numFmtId="0" fontId="80" fillId="7" borderId="15" xfId="0" applyFont="1" applyFill="1" applyBorder="1" applyAlignment="1">
      <alignment vertical="center" wrapText="1"/>
    </xf>
    <xf numFmtId="14" fontId="80" fillId="0" borderId="15" xfId="0" applyNumberFormat="1" applyFont="1" applyBorder="1" applyAlignment="1">
      <alignment horizontal="center" vertical="center" wrapText="1"/>
    </xf>
    <xf numFmtId="0" fontId="80" fillId="0" borderId="15" xfId="0" applyFont="1" applyBorder="1" applyAlignment="1">
      <alignment vertical="center" wrapText="1"/>
    </xf>
    <xf numFmtId="0" fontId="80" fillId="0" borderId="15" xfId="0" applyFont="1" applyBorder="1" applyAlignment="1">
      <alignment horizontal="left" vertical="center" wrapText="1"/>
    </xf>
    <xf numFmtId="2" fontId="80" fillId="0" borderId="15" xfId="0" applyNumberFormat="1" applyFont="1" applyBorder="1" applyAlignment="1">
      <alignment horizontal="center" vertical="center" wrapText="1"/>
    </xf>
    <xf numFmtId="0" fontId="80" fillId="0" borderId="15" xfId="0" applyFont="1" applyBorder="1" applyAlignment="1">
      <alignment horizontal="center" vertical="center" wrapText="1"/>
    </xf>
    <xf numFmtId="9" fontId="80" fillId="0" borderId="15" xfId="0" applyNumberFormat="1" applyFont="1" applyBorder="1" applyAlignment="1">
      <alignment horizontal="center" vertical="center" wrapText="1"/>
    </xf>
    <xf numFmtId="14" fontId="80" fillId="10" borderId="15" xfId="0" applyNumberFormat="1" applyFont="1" applyFill="1" applyBorder="1" applyAlignment="1">
      <alignment horizontal="center" vertical="center" wrapText="1"/>
    </xf>
    <xf numFmtId="0" fontId="80" fillId="10" borderId="15" xfId="0" applyFont="1" applyFill="1" applyBorder="1" applyAlignment="1">
      <alignment horizontal="center" vertical="center" wrapText="1"/>
    </xf>
    <xf numFmtId="0" fontId="80" fillId="10" borderId="21" xfId="0" applyFont="1" applyFill="1" applyBorder="1" applyAlignment="1">
      <alignment horizontal="center" vertical="center" wrapText="1"/>
    </xf>
    <xf numFmtId="9" fontId="80" fillId="10" borderId="21" xfId="1" applyNumberFormat="1" applyFont="1" applyFill="1" applyBorder="1" applyAlignment="1">
      <alignment horizontal="center" vertical="center" wrapText="1"/>
    </xf>
    <xf numFmtId="9" fontId="80" fillId="10" borderId="21" xfId="0" applyNumberFormat="1" applyFont="1" applyFill="1" applyBorder="1" applyAlignment="1">
      <alignment horizontal="center" vertical="center" wrapText="1"/>
    </xf>
    <xf numFmtId="2" fontId="80" fillId="10" borderId="15" xfId="0" applyNumberFormat="1" applyFont="1" applyFill="1" applyBorder="1" applyAlignment="1">
      <alignment horizontal="center" vertical="center" wrapText="1"/>
    </xf>
    <xf numFmtId="167" fontId="80" fillId="10" borderId="15" xfId="1" applyNumberFormat="1" applyFont="1" applyFill="1" applyBorder="1" applyAlignment="1">
      <alignment horizontal="center" vertical="center" wrapText="1"/>
    </xf>
    <xf numFmtId="167" fontId="80" fillId="0" borderId="15" xfId="0" applyNumberFormat="1" applyFont="1" applyBorder="1" applyAlignment="1">
      <alignment horizontal="center" vertical="center" wrapText="1"/>
    </xf>
    <xf numFmtId="1" fontId="80" fillId="0" borderId="15" xfId="0" applyNumberFormat="1" applyFont="1" applyBorder="1" applyAlignment="1">
      <alignment horizontal="center" vertical="center" wrapText="1"/>
    </xf>
    <xf numFmtId="167" fontId="81" fillId="0" borderId="15" xfId="0" applyNumberFormat="1" applyFont="1" applyBorder="1" applyAlignment="1">
      <alignment horizontal="center" vertical="center" wrapText="1"/>
    </xf>
    <xf numFmtId="167" fontId="80" fillId="0" borderId="15" xfId="1" applyNumberFormat="1" applyFont="1" applyBorder="1" applyAlignment="1">
      <alignment horizontal="center" vertical="center" wrapText="1"/>
    </xf>
    <xf numFmtId="0" fontId="82" fillId="0" borderId="0" xfId="0" applyFont="1"/>
    <xf numFmtId="0" fontId="83" fillId="0" borderId="0" xfId="0" applyFont="1"/>
    <xf numFmtId="0" fontId="80" fillId="0" borderId="20" xfId="0" applyFont="1" applyBorder="1" applyAlignment="1">
      <alignment horizontal="center" vertical="center" wrapText="1"/>
    </xf>
    <xf numFmtId="0" fontId="80" fillId="7" borderId="21" xfId="0" applyFont="1" applyFill="1" applyBorder="1" applyAlignment="1">
      <alignment vertical="center" wrapText="1"/>
    </xf>
    <xf numFmtId="14" fontId="80" fillId="0" borderId="21" xfId="0" applyNumberFormat="1" applyFont="1" applyBorder="1" applyAlignment="1">
      <alignment horizontal="center" vertical="center" wrapText="1"/>
    </xf>
    <xf numFmtId="0" fontId="80" fillId="0" borderId="21" xfId="0" applyFont="1" applyBorder="1" applyAlignment="1">
      <alignment horizontal="center" vertical="center" wrapText="1"/>
    </xf>
    <xf numFmtId="0" fontId="80" fillId="0" borderId="21" xfId="0" applyFont="1" applyBorder="1" applyAlignment="1">
      <alignment horizontal="left" vertical="center" wrapText="1"/>
    </xf>
    <xf numFmtId="2" fontId="80" fillId="0" borderId="21" xfId="0" applyNumberFormat="1" applyFont="1" applyBorder="1" applyAlignment="1">
      <alignment horizontal="center" vertical="center" wrapText="1"/>
    </xf>
    <xf numFmtId="9" fontId="80" fillId="0" borderId="21" xfId="0" applyNumberFormat="1" applyFont="1" applyBorder="1" applyAlignment="1">
      <alignment horizontal="center" vertical="center" wrapText="1"/>
    </xf>
    <xf numFmtId="164" fontId="80" fillId="0" borderId="21" xfId="0" applyNumberFormat="1" applyFont="1" applyBorder="1" applyAlignment="1">
      <alignment horizontal="center" vertical="center" wrapText="1"/>
    </xf>
    <xf numFmtId="1" fontId="80" fillId="0" borderId="21" xfId="0" applyNumberFormat="1" applyFont="1" applyBorder="1" applyAlignment="1">
      <alignment horizontal="center" vertical="center" wrapText="1"/>
    </xf>
    <xf numFmtId="167" fontId="81" fillId="7" borderId="21" xfId="0" applyNumberFormat="1" applyFont="1" applyFill="1" applyBorder="1" applyAlignment="1">
      <alignment horizontal="center" vertical="center" wrapText="1"/>
    </xf>
    <xf numFmtId="167" fontId="80" fillId="0" borderId="21" xfId="0" applyNumberFormat="1" applyFont="1" applyBorder="1" applyAlignment="1">
      <alignment horizontal="center" vertical="center" wrapText="1"/>
    </xf>
    <xf numFmtId="167" fontId="80" fillId="0" borderId="21" xfId="1" applyNumberFormat="1" applyFont="1" applyBorder="1" applyAlignment="1">
      <alignment horizontal="center" vertical="center" wrapText="1"/>
    </xf>
    <xf numFmtId="2" fontId="80" fillId="7" borderId="21" xfId="0" applyNumberFormat="1" applyFont="1" applyFill="1" applyBorder="1" applyAlignment="1">
      <alignment horizontal="center" vertical="center" wrapText="1"/>
    </xf>
    <xf numFmtId="14" fontId="80" fillId="7" borderId="21" xfId="0" applyNumberFormat="1" applyFont="1" applyFill="1" applyBorder="1" applyAlignment="1">
      <alignment horizontal="center" vertical="center" wrapText="1"/>
    </xf>
    <xf numFmtId="14" fontId="80" fillId="10" borderId="21" xfId="0" applyNumberFormat="1" applyFont="1" applyFill="1" applyBorder="1" applyAlignment="1">
      <alignment horizontal="center" vertical="center" wrapText="1"/>
    </xf>
    <xf numFmtId="9" fontId="78" fillId="10" borderId="21" xfId="1" applyNumberFormat="1" applyFont="1" applyFill="1" applyBorder="1" applyAlignment="1">
      <alignment horizontal="center" vertical="center" wrapText="1"/>
    </xf>
    <xf numFmtId="9" fontId="78" fillId="10" borderId="21" xfId="0" applyNumberFormat="1" applyFont="1" applyFill="1" applyBorder="1" applyAlignment="1">
      <alignment horizontal="center" vertical="center" wrapText="1"/>
    </xf>
    <xf numFmtId="2" fontId="78" fillId="10" borderId="15" xfId="0" applyNumberFormat="1" applyFont="1" applyFill="1" applyBorder="1" applyAlignment="1">
      <alignment horizontal="center" vertical="center" wrapText="1"/>
    </xf>
    <xf numFmtId="167" fontId="78" fillId="10" borderId="15" xfId="1" applyNumberFormat="1" applyFont="1" applyFill="1" applyBorder="1" applyAlignment="1">
      <alignment horizontal="center" vertical="center" wrapText="1"/>
    </xf>
    <xf numFmtId="0" fontId="26" fillId="7" borderId="28" xfId="0" applyFont="1" applyFill="1" applyBorder="1" applyAlignment="1">
      <alignment horizontal="center" vertical="center" wrapText="1"/>
    </xf>
    <xf numFmtId="0" fontId="25" fillId="7" borderId="18" xfId="0" applyFont="1" applyFill="1" applyBorder="1" applyAlignment="1">
      <alignment horizontal="center" vertical="center" wrapText="1"/>
    </xf>
    <xf numFmtId="0" fontId="36" fillId="8" borderId="29" xfId="0" applyFont="1" applyFill="1" applyBorder="1" applyAlignment="1">
      <alignment horizontal="center" vertical="center" wrapText="1"/>
    </xf>
    <xf numFmtId="0" fontId="36" fillId="8" borderId="30" xfId="0" applyFont="1" applyFill="1" applyBorder="1" applyAlignment="1">
      <alignment horizontal="left" vertical="center" wrapText="1"/>
    </xf>
    <xf numFmtId="0" fontId="36" fillId="8" borderId="30" xfId="0" applyFont="1" applyFill="1" applyBorder="1" applyAlignment="1">
      <alignment vertical="center"/>
    </xf>
    <xf numFmtId="0" fontId="48" fillId="8" borderId="30" xfId="0" applyFont="1" applyFill="1" applyBorder="1" applyAlignment="1">
      <alignment horizontal="center" vertical="center" wrapText="1"/>
    </xf>
    <xf numFmtId="4" fontId="50" fillId="8" borderId="30" xfId="0" applyNumberFormat="1" applyFont="1" applyFill="1" applyBorder="1" applyAlignment="1">
      <alignment horizontal="right" vertical="center" wrapText="1"/>
    </xf>
    <xf numFmtId="2" fontId="50" fillId="8" borderId="30" xfId="0" applyNumberFormat="1" applyFont="1" applyFill="1" applyBorder="1" applyAlignment="1">
      <alignment horizontal="right" vertical="center" wrapText="1"/>
    </xf>
    <xf numFmtId="14" fontId="48" fillId="8" borderId="30" xfId="0" applyNumberFormat="1" applyFont="1" applyFill="1" applyBorder="1" applyAlignment="1">
      <alignment horizontal="center" vertical="center" wrapText="1"/>
    </xf>
    <xf numFmtId="0" fontId="36" fillId="8" borderId="30" xfId="0" applyFont="1" applyFill="1" applyBorder="1" applyAlignment="1">
      <alignment horizontal="center" vertical="center" wrapText="1"/>
    </xf>
    <xf numFmtId="3" fontId="36" fillId="8" borderId="30" xfId="0" applyNumberFormat="1" applyFont="1" applyFill="1" applyBorder="1" applyAlignment="1">
      <alignment horizontal="right" vertical="center" wrapText="1"/>
    </xf>
    <xf numFmtId="0" fontId="48" fillId="8" borderId="31" xfId="0" applyFont="1" applyFill="1" applyBorder="1" applyAlignment="1">
      <alignment horizontal="center" vertical="center" wrapText="1"/>
    </xf>
    <xf numFmtId="0" fontId="48" fillId="7" borderId="0" xfId="0" applyFont="1" applyFill="1" applyAlignment="1">
      <alignment wrapText="1"/>
    </xf>
    <xf numFmtId="167" fontId="36" fillId="7" borderId="30" xfId="0" applyNumberFormat="1" applyFont="1" applyFill="1" applyBorder="1" applyAlignment="1">
      <alignment horizontal="center" vertical="center" wrapText="1"/>
    </xf>
    <xf numFmtId="167" fontId="48" fillId="7" borderId="0" xfId="0" applyNumberFormat="1" applyFont="1" applyFill="1" applyAlignment="1">
      <alignment wrapText="1"/>
    </xf>
    <xf numFmtId="0" fontId="26" fillId="7" borderId="0" xfId="0" applyFont="1" applyFill="1" applyAlignment="1">
      <alignment vertical="center"/>
    </xf>
    <xf numFmtId="0" fontId="39" fillId="7" borderId="0" xfId="0" applyFont="1" applyFill="1"/>
    <xf numFmtId="0" fontId="44" fillId="8" borderId="29" xfId="0" applyFont="1" applyFill="1" applyBorder="1" applyAlignment="1">
      <alignment horizontal="center" vertical="center" wrapText="1"/>
    </xf>
    <xf numFmtId="0" fontId="44" fillId="8" borderId="30" xfId="0" applyFont="1" applyFill="1" applyBorder="1" applyAlignment="1">
      <alignment vertical="center" wrapText="1"/>
    </xf>
    <xf numFmtId="0" fontId="44" fillId="8" borderId="30" xfId="0" applyFont="1" applyFill="1" applyBorder="1" applyAlignment="1">
      <alignment horizontal="left" vertical="center" wrapText="1"/>
    </xf>
    <xf numFmtId="0" fontId="84" fillId="8" borderId="30" xfId="0" applyFont="1" applyFill="1" applyBorder="1" applyAlignment="1">
      <alignment vertical="center" wrapText="1"/>
    </xf>
    <xf numFmtId="0" fontId="84" fillId="8" borderId="30" xfId="0" applyFont="1" applyFill="1" applyBorder="1" applyAlignment="1">
      <alignment horizontal="center" vertical="center" wrapText="1"/>
    </xf>
    <xf numFmtId="0" fontId="41" fillId="8" borderId="30" xfId="0" applyFont="1" applyFill="1" applyBorder="1" applyAlignment="1">
      <alignment horizontal="center" vertical="center" wrapText="1"/>
    </xf>
    <xf numFmtId="0" fontId="44" fillId="8" borderId="30" xfId="0" applyFont="1" applyFill="1" applyBorder="1" applyAlignment="1">
      <alignment horizontal="center" vertical="center" wrapText="1"/>
    </xf>
    <xf numFmtId="167" fontId="43" fillId="8" borderId="30" xfId="0" applyNumberFormat="1" applyFont="1" applyFill="1" applyBorder="1" applyAlignment="1">
      <alignment horizontal="center" vertical="center" wrapText="1"/>
    </xf>
    <xf numFmtId="0" fontId="84" fillId="8" borderId="31" xfId="0" applyFont="1" applyFill="1" applyBorder="1" applyAlignment="1">
      <alignment horizontal="center" vertical="center" wrapText="1"/>
    </xf>
    <xf numFmtId="0" fontId="36" fillId="11" borderId="29" xfId="0" applyFont="1" applyFill="1" applyBorder="1" applyAlignment="1">
      <alignment horizontal="center" vertical="center" wrapText="1"/>
    </xf>
    <xf numFmtId="0" fontId="36" fillId="11" borderId="30" xfId="0" applyFont="1" applyFill="1" applyBorder="1" applyAlignment="1">
      <alignment horizontal="left" vertical="center"/>
    </xf>
    <xf numFmtId="0" fontId="36" fillId="11" borderId="30" xfId="0" applyFont="1" applyFill="1" applyBorder="1" applyAlignment="1">
      <alignment vertical="center"/>
    </xf>
    <xf numFmtId="0" fontId="48" fillId="11" borderId="30" xfId="0" applyFont="1" applyFill="1" applyBorder="1" applyAlignment="1">
      <alignment horizontal="center" vertical="center" wrapText="1"/>
    </xf>
    <xf numFmtId="4" fontId="48" fillId="11" borderId="30" xfId="0" applyNumberFormat="1" applyFont="1" applyFill="1" applyBorder="1" applyAlignment="1">
      <alignment horizontal="right" vertical="center" wrapText="1"/>
    </xf>
    <xf numFmtId="2" fontId="48" fillId="11" borderId="30" xfId="0" applyNumberFormat="1" applyFont="1" applyFill="1" applyBorder="1" applyAlignment="1">
      <alignment horizontal="right" vertical="center" wrapText="1"/>
    </xf>
    <xf numFmtId="14" fontId="48" fillId="11" borderId="30" xfId="0" applyNumberFormat="1" applyFont="1" applyFill="1" applyBorder="1" applyAlignment="1">
      <alignment horizontal="center" vertical="center" wrapText="1"/>
    </xf>
    <xf numFmtId="0" fontId="36" fillId="11" borderId="30" xfId="0" applyFont="1" applyFill="1" applyBorder="1" applyAlignment="1">
      <alignment horizontal="center" vertical="center" wrapText="1"/>
    </xf>
    <xf numFmtId="167" fontId="36" fillId="11" borderId="30" xfId="0" applyNumberFormat="1" applyFont="1" applyFill="1" applyBorder="1" applyAlignment="1">
      <alignment horizontal="center" vertical="center" wrapText="1"/>
    </xf>
    <xf numFmtId="0" fontId="48" fillId="11" borderId="31" xfId="0" applyFont="1" applyFill="1" applyBorder="1" applyAlignment="1">
      <alignment horizontal="center" vertical="center" wrapText="1"/>
    </xf>
    <xf numFmtId="14" fontId="26" fillId="0" borderId="28" xfId="0" applyNumberFormat="1" applyFont="1" applyBorder="1" applyAlignment="1">
      <alignment horizontal="right" vertical="center" wrapText="1"/>
    </xf>
    <xf numFmtId="0" fontId="27" fillId="0" borderId="0" xfId="0" applyFont="1" applyAlignment="1">
      <alignment horizontal="right"/>
    </xf>
    <xf numFmtId="14" fontId="26" fillId="0" borderId="15" xfId="0" applyNumberFormat="1" applyFont="1" applyBorder="1" applyAlignment="1">
      <alignment horizontal="right" vertical="center" wrapText="1"/>
    </xf>
    <xf numFmtId="0" fontId="26" fillId="0" borderId="18" xfId="0" applyFont="1" applyBorder="1" applyAlignment="1">
      <alignment horizontal="right" vertical="center" wrapText="1"/>
    </xf>
    <xf numFmtId="0" fontId="41" fillId="11" borderId="30" xfId="0" applyFont="1" applyFill="1" applyBorder="1" applyAlignment="1">
      <alignment horizontal="center" vertical="center" wrapText="1"/>
    </xf>
    <xf numFmtId="0" fontId="59" fillId="0" borderId="0" xfId="0" applyFont="1" applyAlignment="1">
      <alignment horizontal="right" vertical="center"/>
    </xf>
    <xf numFmtId="0" fontId="36" fillId="11" borderId="30" xfId="0" applyFont="1" applyFill="1" applyBorder="1" applyAlignment="1">
      <alignment horizontal="right" vertical="center"/>
    </xf>
    <xf numFmtId="0" fontId="36" fillId="8" borderId="30" xfId="0" applyFont="1" applyFill="1" applyBorder="1" applyAlignment="1">
      <alignment horizontal="right" vertical="center"/>
    </xf>
    <xf numFmtId="14" fontId="50" fillId="0" borderId="30" xfId="0" applyNumberFormat="1" applyFont="1" applyBorder="1" applyAlignment="1">
      <alignment horizontal="right" vertical="center" wrapText="1"/>
    </xf>
    <xf numFmtId="0" fontId="44" fillId="8" borderId="30" xfId="0" applyFont="1" applyFill="1" applyBorder="1" applyAlignment="1">
      <alignment horizontal="right" vertical="center" wrapText="1"/>
    </xf>
    <xf numFmtId="0" fontId="0" fillId="0" borderId="0" xfId="0" applyAlignment="1">
      <alignment horizontal="right"/>
    </xf>
    <xf numFmtId="14" fontId="26" fillId="0" borderId="0" xfId="0" applyNumberFormat="1" applyFont="1"/>
    <xf numFmtId="0" fontId="85" fillId="0" borderId="0" xfId="0" applyFont="1" applyAlignment="1">
      <alignment horizontal="center" vertical="center"/>
    </xf>
    <xf numFmtId="0" fontId="51" fillId="0" borderId="30" xfId="0" applyFont="1" applyBorder="1" applyAlignment="1">
      <alignment horizontal="center" vertical="center" wrapText="1"/>
    </xf>
    <xf numFmtId="0" fontId="86" fillId="9" borderId="30" xfId="0" applyFont="1" applyFill="1" applyBorder="1" applyAlignment="1">
      <alignment horizontal="center" vertical="center" wrapText="1"/>
    </xf>
    <xf numFmtId="0" fontId="78" fillId="9" borderId="30" xfId="0" applyFont="1" applyFill="1" applyBorder="1" applyAlignment="1">
      <alignment horizontal="center" vertical="center" wrapText="1"/>
    </xf>
    <xf numFmtId="0" fontId="47" fillId="0" borderId="0" xfId="0" applyFont="1" applyAlignment="1">
      <alignment horizontal="right" vertical="center"/>
    </xf>
    <xf numFmtId="0" fontId="89" fillId="7" borderId="30" xfId="0" applyFont="1" applyFill="1" applyBorder="1" applyAlignment="1">
      <alignment horizontal="center" vertical="center" wrapText="1"/>
    </xf>
    <xf numFmtId="0" fontId="89" fillId="7" borderId="0" xfId="0" applyFont="1" applyFill="1"/>
    <xf numFmtId="0" fontId="89" fillId="0" borderId="0" xfId="0" applyFont="1" applyAlignment="1">
      <alignment horizontal="center" vertical="center" wrapText="1"/>
    </xf>
    <xf numFmtId="0" fontId="89" fillId="7" borderId="0" xfId="0" applyFont="1" applyFill="1" applyAlignment="1">
      <alignment horizontal="center" vertical="center" wrapText="1"/>
    </xf>
    <xf numFmtId="9" fontId="89" fillId="0" borderId="0" xfId="1" applyNumberFormat="1" applyFont="1" applyFill="1" applyBorder="1" applyAlignment="1">
      <alignment horizontal="center" vertical="center" wrapText="1"/>
    </xf>
    <xf numFmtId="9" fontId="89" fillId="0" borderId="0" xfId="0" applyNumberFormat="1" applyFont="1" applyAlignment="1">
      <alignment horizontal="center" vertical="center" wrapText="1"/>
    </xf>
    <xf numFmtId="2" fontId="89" fillId="0" borderId="0" xfId="0" applyNumberFormat="1" applyFont="1" applyAlignment="1">
      <alignment horizontal="center" vertical="center" wrapText="1"/>
    </xf>
    <xf numFmtId="167" fontId="89" fillId="0" borderId="0" xfId="1" applyNumberFormat="1" applyFont="1" applyFill="1" applyBorder="1" applyAlignment="1">
      <alignment horizontal="center" vertical="center" wrapText="1"/>
    </xf>
    <xf numFmtId="0" fontId="25" fillId="0" borderId="30" xfId="0" applyFont="1" applyBorder="1" applyAlignment="1">
      <alignment horizontal="center" vertical="center" wrapText="1"/>
    </xf>
    <xf numFmtId="14" fontId="23" fillId="7" borderId="30" xfId="0" applyNumberFormat="1" applyFont="1" applyFill="1" applyBorder="1" applyAlignment="1">
      <alignment horizontal="center" vertical="center" wrapText="1"/>
    </xf>
    <xf numFmtId="9" fontId="23" fillId="7" borderId="30" xfId="0" applyNumberFormat="1" applyFont="1" applyFill="1" applyBorder="1" applyAlignment="1">
      <alignment horizontal="center" vertical="center" wrapText="1"/>
    </xf>
    <xf numFmtId="2" fontId="23" fillId="7" borderId="30" xfId="0" applyNumberFormat="1" applyFont="1" applyFill="1" applyBorder="1" applyAlignment="1">
      <alignment horizontal="center" vertical="center" wrapText="1"/>
    </xf>
    <xf numFmtId="167" fontId="23" fillId="7" borderId="30" xfId="1" applyNumberFormat="1" applyFont="1" applyFill="1" applyBorder="1" applyAlignment="1">
      <alignment horizontal="center" vertical="center" wrapText="1"/>
    </xf>
    <xf numFmtId="0" fontId="45" fillId="0" borderId="0" xfId="0" applyFont="1" applyAlignment="1">
      <alignment horizontal="center" vertical="center" wrapText="1"/>
    </xf>
    <xf numFmtId="0" fontId="45" fillId="7" borderId="0" xfId="0" applyFont="1" applyFill="1" applyAlignment="1">
      <alignment horizontal="center" vertical="center" wrapText="1"/>
    </xf>
    <xf numFmtId="9" fontId="45" fillId="0" borderId="0" xfId="1" applyNumberFormat="1" applyFont="1" applyFill="1" applyBorder="1" applyAlignment="1">
      <alignment horizontal="center" vertical="center" wrapText="1"/>
    </xf>
    <xf numFmtId="9" fontId="45" fillId="0" borderId="0" xfId="0" applyNumberFormat="1" applyFont="1" applyAlignment="1">
      <alignment horizontal="center" vertical="center" wrapText="1"/>
    </xf>
    <xf numFmtId="2" fontId="45" fillId="0" borderId="0" xfId="0" applyNumberFormat="1" applyFont="1" applyAlignment="1">
      <alignment horizontal="center" vertical="center" wrapText="1"/>
    </xf>
    <xf numFmtId="167" fontId="45" fillId="0" borderId="0" xfId="1" applyNumberFormat="1" applyFont="1" applyFill="1" applyBorder="1" applyAlignment="1">
      <alignment horizontal="center" vertical="center" wrapText="1"/>
    </xf>
    <xf numFmtId="0" fontId="90" fillId="7" borderId="0" xfId="0" applyFont="1" applyFill="1"/>
    <xf numFmtId="164" fontId="23" fillId="7" borderId="30" xfId="0" applyNumberFormat="1" applyFont="1" applyFill="1" applyBorder="1" applyAlignment="1">
      <alignment horizontal="center" vertical="center" wrapText="1"/>
    </xf>
    <xf numFmtId="1" fontId="23" fillId="7" borderId="30" xfId="0" applyNumberFormat="1" applyFont="1" applyFill="1" applyBorder="1" applyAlignment="1">
      <alignment horizontal="center" vertical="center" wrapText="1"/>
    </xf>
    <xf numFmtId="167" fontId="45" fillId="7" borderId="30" xfId="0" applyNumberFormat="1" applyFont="1" applyFill="1" applyBorder="1" applyAlignment="1">
      <alignment vertical="center" wrapText="1"/>
    </xf>
    <xf numFmtId="0" fontId="23" fillId="7" borderId="30" xfId="0" applyFont="1" applyFill="1" applyBorder="1" applyAlignment="1">
      <alignment vertical="center" wrapText="1"/>
    </xf>
    <xf numFmtId="14" fontId="23" fillId="7" borderId="30" xfId="0" applyNumberFormat="1" applyFont="1" applyFill="1" applyBorder="1" applyAlignment="1">
      <alignment horizontal="right" vertical="center" wrapText="1"/>
    </xf>
    <xf numFmtId="0" fontId="23" fillId="7" borderId="30" xfId="0" applyFont="1" applyFill="1" applyBorder="1" applyAlignment="1">
      <alignment horizontal="left" vertical="center" wrapText="1"/>
    </xf>
    <xf numFmtId="2" fontId="87" fillId="0" borderId="0" xfId="0" applyNumberFormat="1" applyFont="1" applyAlignment="1">
      <alignment horizontal="center" vertical="center" wrapText="1"/>
    </xf>
    <xf numFmtId="167" fontId="87" fillId="0" borderId="0" xfId="1" applyNumberFormat="1" applyFont="1" applyFill="1" applyBorder="1" applyAlignment="1">
      <alignment horizontal="center" vertical="center" wrapText="1"/>
    </xf>
    <xf numFmtId="2" fontId="89" fillId="7" borderId="0" xfId="0" applyNumberFormat="1" applyFont="1" applyFill="1" applyAlignment="1">
      <alignment horizontal="center" vertical="center" wrapText="1"/>
    </xf>
    <xf numFmtId="167" fontId="89" fillId="7" borderId="0" xfId="1" applyNumberFormat="1" applyFont="1" applyFill="1" applyBorder="1" applyAlignment="1">
      <alignment horizontal="center" vertical="center" wrapText="1"/>
    </xf>
    <xf numFmtId="43" fontId="23" fillId="7" borderId="30" xfId="0" applyNumberFormat="1" applyFont="1" applyFill="1" applyBorder="1" applyAlignment="1">
      <alignment vertical="center" wrapText="1"/>
    </xf>
    <xf numFmtId="43" fontId="23" fillId="7" borderId="30" xfId="0" applyNumberFormat="1" applyFont="1" applyFill="1" applyBorder="1" applyAlignment="1">
      <alignment horizontal="center" vertical="center" wrapText="1"/>
    </xf>
    <xf numFmtId="0" fontId="62" fillId="0" borderId="0" xfId="0" applyFont="1" applyAlignment="1">
      <alignment vertical="center"/>
    </xf>
    <xf numFmtId="0" fontId="91" fillId="0" borderId="0" xfId="0" applyFont="1" applyAlignment="1">
      <alignment vertical="center"/>
    </xf>
    <xf numFmtId="0" fontId="93" fillId="0" borderId="0" xfId="0" applyFont="1" applyAlignment="1">
      <alignment vertical="center"/>
    </xf>
    <xf numFmtId="0" fontId="50" fillId="0" borderId="0" xfId="0" applyFont="1"/>
    <xf numFmtId="0" fontId="94" fillId="0" borderId="0" xfId="0" applyFont="1"/>
    <xf numFmtId="0" fontId="94" fillId="0" borderId="0" xfId="0" applyFont="1" applyAlignment="1">
      <alignment horizontal="right"/>
    </xf>
    <xf numFmtId="170" fontId="94" fillId="0" borderId="0" xfId="0" applyNumberFormat="1" applyFont="1"/>
    <xf numFmtId="0" fontId="57" fillId="0" borderId="0" xfId="0" applyFont="1" applyAlignment="1">
      <alignment vertical="center"/>
    </xf>
    <xf numFmtId="0" fontId="93" fillId="0" borderId="30" xfId="0" applyFont="1" applyBorder="1" applyAlignment="1">
      <alignment horizontal="center" vertical="center" wrapText="1"/>
    </xf>
    <xf numFmtId="0" fontId="96" fillId="0" borderId="0" xfId="0" applyFont="1"/>
    <xf numFmtId="0" fontId="95" fillId="7" borderId="30" xfId="0" applyFont="1" applyFill="1" applyBorder="1" applyAlignment="1">
      <alignment horizontal="center" vertical="center" wrapText="1"/>
    </xf>
    <xf numFmtId="0" fontId="97" fillId="0" borderId="30" xfId="0" applyFont="1" applyBorder="1" applyAlignment="1">
      <alignment horizontal="center" vertical="center" wrapText="1"/>
    </xf>
    <xf numFmtId="0" fontId="98" fillId="7" borderId="30" xfId="0" applyFont="1" applyFill="1" applyBorder="1" applyAlignment="1">
      <alignment vertical="center" wrapText="1"/>
    </xf>
    <xf numFmtId="14" fontId="98" fillId="0" borderId="30" xfId="0" applyNumberFormat="1" applyFont="1" applyBorder="1" applyAlignment="1">
      <alignment horizontal="right" vertical="center" wrapText="1"/>
    </xf>
    <xf numFmtId="14" fontId="99" fillId="7" borderId="30" xfId="0" applyNumberFormat="1" applyFont="1" applyFill="1" applyBorder="1" applyAlignment="1">
      <alignment horizontal="center" vertical="center" wrapText="1"/>
    </xf>
    <xf numFmtId="0" fontId="98" fillId="0" borderId="30" xfId="0" applyFont="1" applyBorder="1" applyAlignment="1">
      <alignment horizontal="left" vertical="center" wrapText="1"/>
    </xf>
    <xf numFmtId="9" fontId="95" fillId="7" borderId="30" xfId="1" applyNumberFormat="1" applyFont="1" applyFill="1" applyBorder="1" applyAlignment="1">
      <alignment horizontal="center" vertical="center" wrapText="1"/>
    </xf>
    <xf numFmtId="9" fontId="95" fillId="7" borderId="30" xfId="0" applyNumberFormat="1" applyFont="1" applyFill="1" applyBorder="1" applyAlignment="1">
      <alignment horizontal="center" vertical="center" wrapText="1"/>
    </xf>
    <xf numFmtId="2" fontId="95" fillId="7" borderId="30" xfId="0" applyNumberFormat="1" applyFont="1" applyFill="1" applyBorder="1" applyAlignment="1">
      <alignment horizontal="center" vertical="center" wrapText="1"/>
    </xf>
    <xf numFmtId="167" fontId="95" fillId="7" borderId="30" xfId="1" applyNumberFormat="1" applyFont="1" applyFill="1" applyBorder="1" applyAlignment="1">
      <alignment horizontal="center" vertical="center" wrapText="1"/>
    </xf>
    <xf numFmtId="169" fontId="93" fillId="0" borderId="30" xfId="0" applyNumberFormat="1" applyFont="1" applyBorder="1" applyAlignment="1">
      <alignment horizontal="center" vertical="center" wrapText="1"/>
    </xf>
    <xf numFmtId="14" fontId="93" fillId="0" borderId="30" xfId="0" applyNumberFormat="1" applyFont="1" applyBorder="1" applyAlignment="1">
      <alignment horizontal="center" vertical="center" wrapText="1"/>
    </xf>
    <xf numFmtId="0" fontId="93" fillId="7" borderId="30" xfId="0" applyFont="1" applyFill="1" applyBorder="1" applyAlignment="1">
      <alignment horizontal="center" vertical="center" wrapText="1"/>
    </xf>
    <xf numFmtId="14" fontId="95" fillId="7" borderId="30" xfId="0" applyNumberFormat="1" applyFont="1" applyFill="1" applyBorder="1" applyAlignment="1">
      <alignment horizontal="center" vertical="center" wrapText="1"/>
    </xf>
    <xf numFmtId="167" fontId="97" fillId="0" borderId="30" xfId="0" applyNumberFormat="1" applyFont="1" applyBorder="1" applyAlignment="1">
      <alignment horizontal="center" vertical="center" wrapText="1"/>
    </xf>
    <xf numFmtId="167" fontId="93" fillId="0" borderId="30" xfId="0" applyNumberFormat="1" applyFont="1" applyBorder="1" applyAlignment="1">
      <alignment horizontal="center" vertical="center" wrapText="1"/>
    </xf>
    <xf numFmtId="171" fontId="98" fillId="0" borderId="30" xfId="0" applyNumberFormat="1" applyFont="1" applyBorder="1" applyAlignment="1">
      <alignment horizontal="left" vertical="center" wrapText="1"/>
    </xf>
    <xf numFmtId="0" fontId="98" fillId="0" borderId="0" xfId="0" applyFont="1"/>
    <xf numFmtId="0" fontId="57" fillId="0" borderId="30" xfId="0" applyFont="1" applyBorder="1" applyAlignment="1">
      <alignment horizontal="center" vertical="center" wrapText="1"/>
    </xf>
    <xf numFmtId="0" fontId="96" fillId="7" borderId="30" xfId="0" applyFont="1" applyFill="1" applyBorder="1" applyAlignment="1">
      <alignment vertical="center" wrapText="1"/>
    </xf>
    <xf numFmtId="14" fontId="96" fillId="0" borderId="30" xfId="0" applyNumberFormat="1" applyFont="1" applyBorder="1" applyAlignment="1">
      <alignment horizontal="right" vertical="center" wrapText="1"/>
    </xf>
    <xf numFmtId="14" fontId="100" fillId="7" borderId="30" xfId="0" applyNumberFormat="1" applyFont="1" applyFill="1" applyBorder="1" applyAlignment="1">
      <alignment horizontal="center" vertical="center" wrapText="1"/>
    </xf>
    <xf numFmtId="0" fontId="96" fillId="0" borderId="30" xfId="0" applyFont="1" applyBorder="1" applyAlignment="1">
      <alignment horizontal="left" vertical="center" wrapText="1"/>
    </xf>
    <xf numFmtId="0" fontId="101" fillId="7" borderId="30" xfId="0" applyFont="1" applyFill="1" applyBorder="1" applyAlignment="1">
      <alignment horizontal="center" vertical="center" wrapText="1"/>
    </xf>
    <xf numFmtId="9" fontId="101" fillId="7" borderId="30" xfId="1" applyNumberFormat="1" applyFont="1" applyFill="1" applyBorder="1" applyAlignment="1">
      <alignment horizontal="center" vertical="center" wrapText="1"/>
    </xf>
    <xf numFmtId="9" fontId="101" fillId="7" borderId="30" xfId="0" applyNumberFormat="1" applyFont="1" applyFill="1" applyBorder="1" applyAlignment="1">
      <alignment horizontal="center" vertical="center" wrapText="1"/>
    </xf>
    <xf numFmtId="2" fontId="101" fillId="7" borderId="30" xfId="0" applyNumberFormat="1" applyFont="1" applyFill="1" applyBorder="1" applyAlignment="1">
      <alignment horizontal="center" vertical="center" wrapText="1"/>
    </xf>
    <xf numFmtId="167" fontId="101" fillId="7" borderId="30" xfId="1" applyNumberFormat="1" applyFont="1" applyFill="1" applyBorder="1" applyAlignment="1">
      <alignment horizontal="center" vertical="center" wrapText="1"/>
    </xf>
    <xf numFmtId="169" fontId="57" fillId="0" borderId="30" xfId="0" applyNumberFormat="1" applyFont="1" applyBorder="1" applyAlignment="1">
      <alignment horizontal="center" vertical="center" wrapText="1"/>
    </xf>
    <xf numFmtId="14" fontId="57" fillId="0" borderId="30" xfId="0" applyNumberFormat="1" applyFont="1" applyBorder="1" applyAlignment="1">
      <alignment horizontal="center" vertical="center" wrapText="1"/>
    </xf>
    <xf numFmtId="0" fontId="57" fillId="7" borderId="30" xfId="0" applyFont="1" applyFill="1" applyBorder="1" applyAlignment="1">
      <alignment horizontal="center" vertical="center" wrapText="1"/>
    </xf>
    <xf numFmtId="14" fontId="101" fillId="7" borderId="30" xfId="0" applyNumberFormat="1" applyFont="1" applyFill="1" applyBorder="1" applyAlignment="1">
      <alignment horizontal="center" vertical="center" wrapText="1"/>
    </xf>
    <xf numFmtId="167" fontId="102" fillId="0" borderId="30" xfId="0" applyNumberFormat="1" applyFont="1" applyBorder="1" applyAlignment="1">
      <alignment horizontal="center" vertical="center" wrapText="1"/>
    </xf>
    <xf numFmtId="167" fontId="57" fillId="0" borderId="30" xfId="0" applyNumberFormat="1" applyFont="1" applyBorder="1" applyAlignment="1">
      <alignment horizontal="center" vertical="center" wrapText="1"/>
    </xf>
    <xf numFmtId="0" fontId="38" fillId="0" borderId="46" xfId="0" applyFont="1" applyBorder="1" applyAlignment="1">
      <alignment horizontal="center" vertical="center" wrapText="1"/>
    </xf>
    <xf numFmtId="0" fontId="38" fillId="0" borderId="47" xfId="0" applyFont="1" applyBorder="1" applyAlignment="1">
      <alignment horizontal="center" vertical="center" wrapText="1"/>
    </xf>
    <xf numFmtId="0" fontId="38" fillId="0" borderId="48" xfId="0" applyFont="1" applyBorder="1" applyAlignment="1">
      <alignment horizontal="center" vertical="center" wrapText="1"/>
    </xf>
    <xf numFmtId="0" fontId="38" fillId="0" borderId="49" xfId="0" applyFont="1" applyBorder="1" applyAlignment="1">
      <alignment horizontal="center" vertical="center" wrapText="1"/>
    </xf>
    <xf numFmtId="0" fontId="38" fillId="0" borderId="31" xfId="0" applyFont="1" applyBorder="1" applyAlignment="1">
      <alignment horizontal="center" vertical="center" wrapText="1"/>
    </xf>
    <xf numFmtId="0" fontId="16" fillId="0" borderId="0" xfId="0" applyFont="1" applyAlignment="1">
      <alignment horizontal="center" vertical="center" wrapText="1"/>
    </xf>
    <xf numFmtId="0" fontId="17" fillId="0" borderId="0" xfId="0" applyFont="1" applyAlignment="1">
      <alignment horizontal="center"/>
    </xf>
    <xf numFmtId="0" fontId="18" fillId="0" borderId="0" xfId="0" applyFont="1" applyAlignment="1">
      <alignment horizontal="center"/>
    </xf>
    <xf numFmtId="167" fontId="41" fillId="7" borderId="50" xfId="0" applyNumberFormat="1" applyFont="1" applyFill="1" applyBorder="1" applyAlignment="1">
      <alignment horizontal="center" vertical="center" wrapText="1"/>
    </xf>
    <xf numFmtId="167" fontId="41" fillId="7" borderId="51" xfId="0" applyNumberFormat="1" applyFont="1" applyFill="1" applyBorder="1" applyAlignment="1">
      <alignment horizontal="center" vertical="center" wrapText="1"/>
    </xf>
    <xf numFmtId="167" fontId="41" fillId="7" borderId="52" xfId="0" applyNumberFormat="1" applyFont="1" applyFill="1" applyBorder="1" applyAlignment="1">
      <alignment horizontal="center" vertical="center" wrapText="1"/>
    </xf>
    <xf numFmtId="0" fontId="38" fillId="0" borderId="44" xfId="0" applyFont="1" applyBorder="1" applyAlignment="1">
      <alignment horizontal="center" vertical="center" wrapText="1"/>
    </xf>
    <xf numFmtId="4" fontId="49" fillId="0" borderId="44" xfId="0" applyNumberFormat="1" applyFont="1" applyBorder="1" applyAlignment="1">
      <alignment horizontal="center" vertical="center" wrapText="1"/>
    </xf>
    <xf numFmtId="4" fontId="49" fillId="0" borderId="30" xfId="0" applyNumberFormat="1" applyFont="1" applyBorder="1" applyAlignment="1">
      <alignment horizontal="center" vertical="center" wrapText="1"/>
    </xf>
    <xf numFmtId="2" fontId="49" fillId="0" borderId="44" xfId="0" applyNumberFormat="1" applyFont="1" applyBorder="1" applyAlignment="1">
      <alignment horizontal="center" vertical="center" wrapText="1"/>
    </xf>
    <xf numFmtId="2" fontId="49" fillId="0" borderId="30" xfId="0" applyNumberFormat="1" applyFont="1" applyBorder="1" applyAlignment="1">
      <alignment horizontal="center" vertical="center" wrapText="1"/>
    </xf>
    <xf numFmtId="0" fontId="49" fillId="0" borderId="46" xfId="0" applyFont="1" applyBorder="1" applyAlignment="1">
      <alignment horizontal="center" vertical="center" wrapText="1"/>
    </xf>
    <xf numFmtId="0" fontId="49" fillId="0" borderId="48" xfId="0" applyFont="1" applyBorder="1" applyAlignment="1">
      <alignment horizontal="center" vertical="center" wrapText="1"/>
    </xf>
    <xf numFmtId="14" fontId="49" fillId="0" borderId="44" xfId="0" applyNumberFormat="1" applyFont="1" applyBorder="1" applyAlignment="1">
      <alignment horizontal="center" vertical="center" wrapText="1"/>
    </xf>
    <xf numFmtId="14" fontId="49" fillId="0" borderId="30" xfId="0" applyNumberFormat="1" applyFont="1" applyBorder="1" applyAlignment="1">
      <alignment horizontal="center" vertical="center" wrapText="1"/>
    </xf>
    <xf numFmtId="0" fontId="49" fillId="0" borderId="44" xfId="0" applyFont="1" applyBorder="1" applyAlignment="1">
      <alignment horizontal="center" vertical="center" wrapText="1"/>
    </xf>
    <xf numFmtId="0" fontId="49" fillId="0" borderId="30" xfId="0" applyFont="1" applyBorder="1" applyAlignment="1">
      <alignment horizontal="center" vertical="center" wrapText="1"/>
    </xf>
    <xf numFmtId="0" fontId="16" fillId="0" borderId="0" xfId="0" applyFont="1" applyAlignment="1">
      <alignment horizontal="center" vertical="center"/>
    </xf>
    <xf numFmtId="0" fontId="60" fillId="0" borderId="0" xfId="0" applyFont="1" applyAlignment="1">
      <alignment horizontal="center" vertical="center"/>
    </xf>
    <xf numFmtId="0" fontId="38" fillId="0" borderId="53" xfId="0" applyFont="1" applyBorder="1" applyAlignment="1">
      <alignment horizontal="center" vertical="center" wrapText="1"/>
    </xf>
    <xf numFmtId="0" fontId="38" fillId="0" borderId="29" xfId="0" applyFont="1" applyBorder="1" applyAlignment="1">
      <alignment horizontal="center" vertical="center" wrapText="1"/>
    </xf>
    <xf numFmtId="0" fontId="38" fillId="0" borderId="30" xfId="0" applyFont="1" applyBorder="1" applyAlignment="1">
      <alignment horizontal="center" vertical="center" wrapText="1"/>
    </xf>
    <xf numFmtId="0" fontId="33" fillId="0" borderId="0" xfId="0" applyFont="1" applyAlignment="1">
      <alignment horizontal="center" vertical="center"/>
    </xf>
    <xf numFmtId="0" fontId="33" fillId="0" borderId="0" xfId="0" applyFont="1" applyAlignment="1">
      <alignment horizontal="right" vertical="center"/>
    </xf>
    <xf numFmtId="0" fontId="57" fillId="0" borderId="0" xfId="0" applyFont="1" applyAlignment="1">
      <alignment horizontal="center" vertical="center"/>
    </xf>
    <xf numFmtId="0" fontId="17" fillId="0" borderId="0" xfId="0" applyFont="1" applyAlignment="1">
      <alignment horizontal="center" vertical="center"/>
    </xf>
    <xf numFmtId="0" fontId="59" fillId="0" borderId="0" xfId="0" applyFont="1" applyAlignment="1">
      <alignment horizontal="center" vertical="center"/>
    </xf>
    <xf numFmtId="0" fontId="24" fillId="2" borderId="30" xfId="0" applyFont="1" applyFill="1" applyBorder="1" applyAlignment="1">
      <alignment horizontal="center" vertical="center" wrapText="1"/>
    </xf>
    <xf numFmtId="0" fontId="24" fillId="7" borderId="30" xfId="0" applyFont="1" applyFill="1" applyBorder="1" applyAlignment="1">
      <alignment horizontal="center" vertical="center" wrapText="1"/>
    </xf>
    <xf numFmtId="0" fontId="24" fillId="0" borderId="30" xfId="0" applyFont="1" applyBorder="1" applyAlignment="1">
      <alignment horizontal="center" vertical="center" wrapText="1"/>
    </xf>
    <xf numFmtId="0" fontId="47" fillId="0" borderId="0" xfId="0" applyFont="1" applyAlignment="1">
      <alignment horizontal="center" vertical="center"/>
    </xf>
    <xf numFmtId="0" fontId="47" fillId="7" borderId="0" xfId="0" applyFont="1" applyFill="1" applyAlignment="1">
      <alignment horizontal="center" vertical="center"/>
    </xf>
    <xf numFmtId="164" fontId="47" fillId="0" borderId="0" xfId="0" applyNumberFormat="1" applyFont="1" applyAlignment="1">
      <alignment horizontal="center" vertical="center"/>
    </xf>
    <xf numFmtId="0" fontId="24" fillId="2" borderId="30" xfId="0" applyFont="1" applyFill="1" applyBorder="1" applyAlignment="1">
      <alignment horizontal="center" vertical="center" textRotation="90" wrapText="1"/>
    </xf>
    <xf numFmtId="0" fontId="28" fillId="0" borderId="30" xfId="0" applyFont="1" applyBorder="1" applyAlignment="1">
      <alignment horizontal="center" vertical="center" wrapText="1"/>
    </xf>
    <xf numFmtId="0" fontId="88" fillId="7" borderId="30" xfId="0" applyFont="1" applyFill="1" applyBorder="1" applyAlignment="1">
      <alignment horizontal="center" vertical="center" textRotation="90" wrapText="1"/>
    </xf>
    <xf numFmtId="0" fontId="88" fillId="7" borderId="30" xfId="0" applyFont="1" applyFill="1" applyBorder="1" applyAlignment="1">
      <alignment horizontal="center" vertical="center" wrapText="1"/>
    </xf>
    <xf numFmtId="0" fontId="24" fillId="0" borderId="39" xfId="0" applyFont="1" applyBorder="1" applyAlignment="1">
      <alignment horizontal="center" vertical="center" wrapText="1"/>
    </xf>
    <xf numFmtId="0" fontId="24" fillId="0" borderId="42" xfId="0" applyFont="1" applyBorder="1" applyAlignment="1">
      <alignment horizontal="center" vertical="center" wrapText="1"/>
    </xf>
    <xf numFmtId="164" fontId="24" fillId="0" borderId="30" xfId="0" applyNumberFormat="1" applyFont="1" applyBorder="1" applyAlignment="1">
      <alignment horizontal="center" vertical="center" wrapText="1"/>
    </xf>
    <xf numFmtId="0" fontId="42" fillId="0" borderId="39" xfId="0" applyFont="1" applyBorder="1" applyAlignment="1">
      <alignment horizontal="center" vertical="center" wrapText="1"/>
    </xf>
    <xf numFmtId="0" fontId="42" fillId="0" borderId="42" xfId="0" applyFont="1" applyBorder="1" applyAlignment="1">
      <alignment horizontal="center" vertical="center" wrapText="1"/>
    </xf>
    <xf numFmtId="0" fontId="28" fillId="0" borderId="40" xfId="0" applyFont="1" applyBorder="1" applyAlignment="1">
      <alignment horizontal="center" vertical="center" wrapText="1"/>
    </xf>
    <xf numFmtId="0" fontId="28" fillId="0" borderId="61" xfId="0" applyFont="1" applyBorder="1" applyAlignment="1">
      <alignment horizontal="center" vertical="center" wrapText="1"/>
    </xf>
    <xf numFmtId="0" fontId="28" fillId="0" borderId="62" xfId="0" applyFont="1" applyBorder="1" applyAlignment="1">
      <alignment horizontal="center" vertical="center" wrapText="1"/>
    </xf>
    <xf numFmtId="0" fontId="24" fillId="7" borderId="39" xfId="0" applyFont="1" applyFill="1" applyBorder="1" applyAlignment="1">
      <alignment horizontal="center" vertical="center" textRotation="90" wrapText="1"/>
    </xf>
    <xf numFmtId="0" fontId="24" fillId="7" borderId="33" xfId="0" applyFont="1" applyFill="1" applyBorder="1" applyAlignment="1">
      <alignment horizontal="center" vertical="center" textRotation="90" wrapText="1"/>
    </xf>
    <xf numFmtId="0" fontId="24" fillId="7" borderId="42" xfId="0" applyFont="1" applyFill="1" applyBorder="1" applyAlignment="1">
      <alignment horizontal="center" vertical="center" textRotation="90" wrapText="1"/>
    </xf>
    <xf numFmtId="0" fontId="86" fillId="9" borderId="30" xfId="0" applyFont="1" applyFill="1" applyBorder="1" applyAlignment="1">
      <alignment horizontal="center" vertical="center" wrapText="1"/>
    </xf>
    <xf numFmtId="0" fontId="24" fillId="0" borderId="63" xfId="0" applyFont="1" applyBorder="1" applyAlignment="1">
      <alignment horizontal="center" vertical="center" wrapText="1"/>
    </xf>
    <xf numFmtId="0" fontId="24" fillId="0" borderId="64" xfId="0" applyFont="1" applyBorder="1" applyAlignment="1">
      <alignment horizontal="center" vertical="center" wrapText="1"/>
    </xf>
    <xf numFmtId="0" fontId="24" fillId="0" borderId="65" xfId="0" applyFont="1" applyBorder="1" applyAlignment="1">
      <alignment horizontal="center" vertical="center" wrapText="1"/>
    </xf>
    <xf numFmtId="0" fontId="24" fillId="0" borderId="41" xfId="0" applyFont="1" applyBorder="1" applyAlignment="1">
      <alignment horizontal="center" vertical="center" wrapText="1"/>
    </xf>
    <xf numFmtId="0" fontId="93" fillId="0" borderId="0" xfId="0" applyFont="1" applyAlignment="1">
      <alignment horizontal="center" vertical="center"/>
    </xf>
    <xf numFmtId="0" fontId="91" fillId="0" borderId="0" xfId="0" applyFont="1" applyAlignment="1">
      <alignment horizontal="right" vertical="center"/>
    </xf>
    <xf numFmtId="0" fontId="93" fillId="0" borderId="30" xfId="0" applyFont="1" applyBorder="1" applyAlignment="1">
      <alignment horizontal="center" vertical="center" wrapText="1"/>
    </xf>
    <xf numFmtId="0" fontId="93" fillId="0" borderId="30" xfId="0" applyFont="1" applyBorder="1" applyAlignment="1">
      <alignment horizontal="right" vertical="center" wrapText="1"/>
    </xf>
    <xf numFmtId="14" fontId="95" fillId="7" borderId="61" xfId="0" applyNumberFormat="1" applyFont="1" applyFill="1" applyBorder="1" applyAlignment="1">
      <alignment horizontal="center" vertical="center" wrapText="1"/>
    </xf>
    <xf numFmtId="0" fontId="93" fillId="0" borderId="40" xfId="0" applyFont="1" applyBorder="1" applyAlignment="1">
      <alignment horizontal="center" vertical="center" wrapText="1"/>
    </xf>
    <xf numFmtId="0" fontId="93" fillId="0" borderId="61" xfId="0" applyFont="1" applyBorder="1" applyAlignment="1">
      <alignment horizontal="center" vertical="center" wrapText="1"/>
    </xf>
    <xf numFmtId="0" fontId="24" fillId="0" borderId="43" xfId="0" applyFont="1" applyBorder="1" applyAlignment="1">
      <alignment horizontal="center" vertical="center" textRotation="90" wrapText="1"/>
    </xf>
    <xf numFmtId="0" fontId="24" fillId="0" borderId="33" xfId="0" applyFont="1" applyBorder="1" applyAlignment="1">
      <alignment horizontal="center" vertical="center" textRotation="90" wrapText="1"/>
    </xf>
    <xf numFmtId="0" fontId="24" fillId="0" borderId="43" xfId="0" applyFont="1" applyBorder="1" applyAlignment="1">
      <alignment horizontal="center" vertical="center" wrapText="1"/>
    </xf>
    <xf numFmtId="0" fontId="24" fillId="0" borderId="33" xfId="0" applyFont="1" applyBorder="1" applyAlignment="1">
      <alignment horizontal="center" vertical="center" wrapText="1"/>
    </xf>
    <xf numFmtId="0" fontId="24" fillId="0" borderId="44" xfId="0" applyFont="1" applyBorder="1" applyAlignment="1">
      <alignment horizontal="center" vertical="center" wrapText="1"/>
    </xf>
    <xf numFmtId="0" fontId="40" fillId="0" borderId="56" xfId="0" applyFont="1" applyBorder="1" applyAlignment="1">
      <alignment horizontal="center" vertical="center"/>
    </xf>
    <xf numFmtId="0" fontId="24" fillId="0" borderId="54" xfId="0" applyFont="1" applyBorder="1" applyAlignment="1">
      <alignment horizontal="center" vertical="center" wrapText="1"/>
    </xf>
    <xf numFmtId="0" fontId="24" fillId="0" borderId="32" xfId="0" applyFont="1" applyBorder="1" applyAlignment="1">
      <alignment horizontal="center" vertical="center" wrapText="1"/>
    </xf>
    <xf numFmtId="0" fontId="36" fillId="0" borderId="0" xfId="0" applyFont="1" applyAlignment="1">
      <alignment horizontal="center" vertical="center"/>
    </xf>
    <xf numFmtId="0" fontId="36" fillId="0" borderId="0" xfId="0" applyFont="1" applyAlignment="1">
      <alignment horizontal="right" vertical="center"/>
    </xf>
    <xf numFmtId="0" fontId="29" fillId="0" borderId="0" xfId="0" applyFont="1" applyAlignment="1">
      <alignment horizontal="center" vertical="center"/>
    </xf>
    <xf numFmtId="0" fontId="31" fillId="0" borderId="0" xfId="0" applyFont="1" applyAlignment="1">
      <alignment horizontal="center" vertical="center"/>
    </xf>
    <xf numFmtId="0" fontId="37" fillId="0" borderId="0" xfId="0" applyFont="1" applyAlignment="1">
      <alignment horizontal="center" vertical="center"/>
    </xf>
    <xf numFmtId="0" fontId="25" fillId="0" borderId="0" xfId="0" applyFont="1" applyAlignment="1">
      <alignment horizontal="center"/>
    </xf>
    <xf numFmtId="0" fontId="24" fillId="0" borderId="49" xfId="0" applyFont="1" applyBorder="1" applyAlignment="1">
      <alignment horizontal="center" vertical="center" wrapText="1"/>
    </xf>
    <xf numFmtId="0" fontId="24" fillId="0" borderId="55" xfId="0" applyFont="1" applyBorder="1" applyAlignment="1">
      <alignment horizontal="center" vertical="center" wrapText="1"/>
    </xf>
    <xf numFmtId="167" fontId="45" fillId="0" borderId="15" xfId="0" applyNumberFormat="1" applyFont="1" applyBorder="1" applyAlignment="1">
      <alignment horizontal="center" vertical="center" wrapText="1"/>
    </xf>
    <xf numFmtId="0" fontId="24" fillId="0" borderId="0" xfId="0" applyFont="1" applyAlignment="1">
      <alignment horizontal="center" vertical="center" wrapText="1"/>
    </xf>
    <xf numFmtId="0" fontId="24" fillId="0" borderId="45" xfId="0" applyFont="1" applyBorder="1" applyAlignment="1">
      <alignment horizontal="center" vertical="center" wrapText="1"/>
    </xf>
    <xf numFmtId="0" fontId="24" fillId="0" borderId="42" xfId="0" applyFont="1" applyBorder="1" applyAlignment="1">
      <alignment horizontal="center" vertical="center" textRotation="90" wrapText="1"/>
    </xf>
    <xf numFmtId="0" fontId="24" fillId="2" borderId="44" xfId="0" applyFont="1" applyFill="1" applyBorder="1" applyAlignment="1">
      <alignment horizontal="center" vertical="center" wrapText="1"/>
    </xf>
    <xf numFmtId="0" fontId="24" fillId="0" borderId="31" xfId="0" applyFont="1" applyBorder="1" applyAlignment="1">
      <alignment horizontal="center" vertical="center" wrapText="1"/>
    </xf>
    <xf numFmtId="0" fontId="32" fillId="0" borderId="49" xfId="0" applyFont="1" applyBorder="1" applyAlignment="1">
      <alignment horizontal="center" vertical="center" wrapText="1"/>
    </xf>
    <xf numFmtId="0" fontId="32" fillId="0" borderId="31" xfId="0" applyFont="1" applyBorder="1" applyAlignment="1">
      <alignment horizontal="center" vertical="center" wrapText="1"/>
    </xf>
    <xf numFmtId="0" fontId="32" fillId="0" borderId="44" xfId="0" applyFont="1" applyBorder="1" applyAlignment="1">
      <alignment horizontal="center" vertical="center" wrapText="1"/>
    </xf>
    <xf numFmtId="0" fontId="65" fillId="0" borderId="0" xfId="0" applyFont="1" applyAlignment="1">
      <alignment horizontal="center" vertical="center"/>
    </xf>
    <xf numFmtId="0" fontId="79" fillId="0" borderId="0" xfId="0" applyFont="1" applyAlignment="1">
      <alignment horizontal="center" vertical="center"/>
    </xf>
    <xf numFmtId="0" fontId="49" fillId="0" borderId="53" xfId="0" applyFont="1" applyBorder="1" applyAlignment="1">
      <alignment horizontal="center" vertical="center" wrapText="1"/>
    </xf>
    <xf numFmtId="0" fontId="49" fillId="0" borderId="29" xfId="0" applyFont="1" applyBorder="1" applyAlignment="1">
      <alignment horizontal="center" vertical="center" wrapText="1"/>
    </xf>
    <xf numFmtId="0" fontId="36" fillId="7" borderId="0" xfId="0" applyFont="1" applyFill="1" applyAlignment="1">
      <alignment horizontal="center" vertical="center"/>
    </xf>
    <xf numFmtId="0" fontId="53" fillId="0" borderId="0" xfId="0" applyFont="1" applyAlignment="1">
      <alignment horizontal="center" vertical="center"/>
    </xf>
    <xf numFmtId="0" fontId="53" fillId="7" borderId="0" xfId="0" applyFont="1" applyFill="1" applyAlignment="1">
      <alignment horizontal="center" vertical="center"/>
    </xf>
    <xf numFmtId="0" fontId="54" fillId="0" borderId="0" xfId="0" applyFont="1" applyAlignment="1">
      <alignment horizontal="center" vertical="center"/>
    </xf>
    <xf numFmtId="0" fontId="55" fillId="0" borderId="0" xfId="0" applyFont="1" applyAlignment="1">
      <alignment horizontal="center" vertical="center"/>
    </xf>
    <xf numFmtId="0" fontId="55" fillId="7" borderId="0" xfId="0" applyFont="1" applyFill="1" applyAlignment="1">
      <alignment horizontal="center" vertical="center"/>
    </xf>
    <xf numFmtId="0" fontId="33" fillId="7" borderId="0" xfId="0" applyFont="1" applyFill="1" applyAlignment="1">
      <alignment horizontal="center" vertical="center"/>
    </xf>
    <xf numFmtId="0" fontId="47" fillId="0" borderId="56" xfId="0" applyFont="1" applyBorder="1" applyAlignment="1">
      <alignment horizontal="center" vertical="center"/>
    </xf>
    <xf numFmtId="0" fontId="47" fillId="7" borderId="56" xfId="0" applyFont="1" applyFill="1" applyBorder="1" applyAlignment="1">
      <alignment horizontal="center" vertical="center"/>
    </xf>
    <xf numFmtId="0" fontId="66" fillId="0" borderId="54" xfId="0" applyFont="1" applyBorder="1" applyAlignment="1">
      <alignment horizontal="center" vertical="center" wrapText="1"/>
    </xf>
    <xf numFmtId="0" fontId="66" fillId="0" borderId="45" xfId="0" applyFont="1" applyBorder="1" applyAlignment="1">
      <alignment horizontal="center" vertical="center" wrapText="1"/>
    </xf>
    <xf numFmtId="0" fontId="66" fillId="7" borderId="43" xfId="0" applyFont="1" applyFill="1" applyBorder="1" applyAlignment="1">
      <alignment horizontal="center" vertical="center" wrapText="1"/>
    </xf>
    <xf numFmtId="0" fontId="66" fillId="7" borderId="42" xfId="0" applyFont="1" applyFill="1" applyBorder="1" applyAlignment="1">
      <alignment horizontal="center" vertical="center" wrapText="1"/>
    </xf>
    <xf numFmtId="0" fontId="66" fillId="0" borderId="43" xfId="0" applyFont="1" applyBorder="1" applyAlignment="1">
      <alignment horizontal="center" vertical="center" wrapText="1"/>
    </xf>
    <xf numFmtId="0" fontId="66" fillId="0" borderId="42" xfId="0" applyFont="1" applyBorder="1" applyAlignment="1">
      <alignment horizontal="center" vertical="center" wrapText="1"/>
    </xf>
    <xf numFmtId="0" fontId="66" fillId="0" borderId="43" xfId="0" applyFont="1" applyBorder="1" applyAlignment="1">
      <alignment horizontal="center" vertical="center" textRotation="90" wrapText="1"/>
    </xf>
    <xf numFmtId="0" fontId="66" fillId="0" borderId="42" xfId="0" applyFont="1" applyBorder="1" applyAlignment="1">
      <alignment horizontal="center" vertical="center" textRotation="90" wrapText="1"/>
    </xf>
    <xf numFmtId="0" fontId="66" fillId="0" borderId="46" xfId="0" applyFont="1" applyBorder="1" applyAlignment="1">
      <alignment horizontal="center" vertical="center" wrapText="1"/>
    </xf>
    <xf numFmtId="0" fontId="66" fillId="0" borderId="48" xfId="0" applyFont="1" applyBorder="1" applyAlignment="1">
      <alignment horizontal="center" vertical="center" wrapText="1"/>
    </xf>
    <xf numFmtId="0" fontId="66" fillId="7" borderId="43" xfId="0" applyFont="1" applyFill="1" applyBorder="1" applyAlignment="1">
      <alignment horizontal="center" vertical="center" textRotation="90" wrapText="1"/>
    </xf>
    <xf numFmtId="0" fontId="66" fillId="7" borderId="42" xfId="0" applyFont="1" applyFill="1" applyBorder="1" applyAlignment="1">
      <alignment horizontal="center" vertical="center" textRotation="90" wrapText="1"/>
    </xf>
    <xf numFmtId="0" fontId="66" fillId="7" borderId="46" xfId="0" applyFont="1" applyFill="1" applyBorder="1" applyAlignment="1">
      <alignment horizontal="center" vertical="center" wrapText="1"/>
    </xf>
    <xf numFmtId="0" fontId="66" fillId="7" borderId="47" xfId="0" applyFont="1" applyFill="1" applyBorder="1" applyAlignment="1">
      <alignment horizontal="center" vertical="center" wrapText="1"/>
    </xf>
    <xf numFmtId="0" fontId="66" fillId="7" borderId="48" xfId="0" applyFont="1" applyFill="1" applyBorder="1" applyAlignment="1">
      <alignment horizontal="center" vertical="center" wrapText="1"/>
    </xf>
    <xf numFmtId="0" fontId="24" fillId="7" borderId="43" xfId="0" applyFont="1" applyFill="1" applyBorder="1" applyAlignment="1">
      <alignment horizontal="center" vertical="center" wrapText="1"/>
    </xf>
    <xf numFmtId="0" fontId="24" fillId="7" borderId="42" xfId="0" applyFont="1" applyFill="1" applyBorder="1" applyAlignment="1">
      <alignment horizontal="center" vertical="center" wrapText="1"/>
    </xf>
    <xf numFmtId="0" fontId="5" fillId="2" borderId="57" xfId="0" applyFont="1" applyFill="1" applyBorder="1" applyAlignment="1">
      <alignment horizontal="center" vertical="center" wrapText="1"/>
    </xf>
    <xf numFmtId="0" fontId="5" fillId="2" borderId="58" xfId="0" applyFont="1" applyFill="1" applyBorder="1" applyAlignment="1">
      <alignment horizontal="center" vertical="center" wrapText="1"/>
    </xf>
    <xf numFmtId="0" fontId="5" fillId="2" borderId="11" xfId="0" applyFont="1" applyFill="1" applyBorder="1" applyAlignment="1">
      <alignment horizontal="center" vertical="center" wrapText="1"/>
    </xf>
    <xf numFmtId="0" fontId="5" fillId="2" borderId="59"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5" fillId="0" borderId="59" xfId="0" applyFont="1" applyBorder="1" applyAlignment="1">
      <alignment horizontal="center" vertical="center" wrapText="1"/>
    </xf>
    <xf numFmtId="0" fontId="5" fillId="0" borderId="2" xfId="0" applyFont="1" applyBorder="1" applyAlignment="1">
      <alignment horizontal="center" vertical="center" wrapText="1"/>
    </xf>
    <xf numFmtId="0" fontId="5" fillId="0" borderId="57" xfId="0" applyFont="1" applyBorder="1" applyAlignment="1">
      <alignment horizontal="center" vertical="center" wrapText="1"/>
    </xf>
    <xf numFmtId="0" fontId="5" fillId="0" borderId="11" xfId="0" applyFont="1" applyBorder="1" applyAlignment="1">
      <alignment horizontal="center" vertical="center" wrapText="1"/>
    </xf>
    <xf numFmtId="0" fontId="2" fillId="0" borderId="0" xfId="0" applyFont="1" applyAlignment="1">
      <alignment horizontal="center" vertical="center"/>
    </xf>
    <xf numFmtId="0" fontId="3" fillId="0" borderId="0" xfId="0" applyFont="1" applyAlignment="1">
      <alignment horizontal="center" vertical="center"/>
    </xf>
    <xf numFmtId="0" fontId="19" fillId="0" borderId="0" xfId="0" applyFont="1" applyAlignment="1">
      <alignment horizontal="center" vertical="center"/>
    </xf>
    <xf numFmtId="0" fontId="4" fillId="0" borderId="0" xfId="0" applyFont="1" applyAlignment="1">
      <alignment horizontal="center" vertical="center"/>
    </xf>
    <xf numFmtId="0" fontId="3" fillId="0" borderId="56" xfId="0" applyFont="1" applyBorder="1" applyAlignment="1">
      <alignment horizontal="center" vertical="center"/>
    </xf>
    <xf numFmtId="0" fontId="12" fillId="0" borderId="0" xfId="0" applyFont="1" applyAlignment="1">
      <alignment horizontal="center" vertical="center"/>
    </xf>
    <xf numFmtId="0" fontId="5" fillId="0" borderId="58" xfId="0" applyFont="1" applyBorder="1" applyAlignment="1">
      <alignment horizontal="center" vertical="center" wrapText="1"/>
    </xf>
    <xf numFmtId="0" fontId="8" fillId="0" borderId="0" xfId="0" applyFont="1" applyAlignment="1">
      <alignment horizontal="left" vertical="center" wrapText="1"/>
    </xf>
    <xf numFmtId="0" fontId="4" fillId="0" borderId="56" xfId="0" applyFont="1" applyBorder="1" applyAlignment="1">
      <alignment horizontal="center" vertical="center"/>
    </xf>
    <xf numFmtId="0" fontId="8" fillId="0" borderId="59" xfId="0" applyFont="1" applyBorder="1" applyAlignment="1">
      <alignment horizontal="center" vertical="center" wrapText="1"/>
    </xf>
    <xf numFmtId="0" fontId="8" fillId="0" borderId="2" xfId="0" applyFont="1" applyBorder="1" applyAlignment="1">
      <alignment horizontal="center" vertical="center" wrapText="1"/>
    </xf>
    <xf numFmtId="0" fontId="8" fillId="0" borderId="57" xfId="0" applyFont="1" applyBorder="1" applyAlignment="1">
      <alignment horizontal="center" vertical="center" wrapText="1"/>
    </xf>
    <xf numFmtId="0" fontId="8" fillId="0" borderId="58" xfId="0" applyFont="1" applyBorder="1" applyAlignment="1">
      <alignment horizontal="center" vertical="center" wrapText="1"/>
    </xf>
    <xf numFmtId="0" fontId="8" fillId="0" borderId="11" xfId="0" applyFont="1" applyBorder="1" applyAlignment="1">
      <alignment horizontal="center" vertical="center" wrapText="1"/>
    </xf>
    <xf numFmtId="0" fontId="6" fillId="0" borderId="59" xfId="0" applyFont="1" applyBorder="1" applyAlignment="1">
      <alignment horizontal="center" vertical="center" wrapText="1"/>
    </xf>
    <xf numFmtId="0" fontId="6" fillId="0" borderId="2" xfId="0" applyFont="1" applyBorder="1" applyAlignment="1">
      <alignment horizontal="center" vertical="center" wrapText="1"/>
    </xf>
    <xf numFmtId="0" fontId="6" fillId="0" borderId="57" xfId="0" applyFont="1" applyBorder="1" applyAlignment="1">
      <alignment horizontal="center" vertical="center" wrapText="1"/>
    </xf>
    <xf numFmtId="0" fontId="6" fillId="0" borderId="58" xfId="0" applyFont="1" applyBorder="1" applyAlignment="1">
      <alignment horizontal="center" vertical="center" wrapText="1"/>
    </xf>
    <xf numFmtId="0" fontId="6" fillId="0" borderId="11" xfId="0" applyFont="1" applyBorder="1" applyAlignment="1">
      <alignment horizontal="center" vertical="center" wrapText="1"/>
    </xf>
  </cellXfs>
  <cellStyles count="16">
    <cellStyle name="Comma" xfId="1" builtinId="3"/>
    <cellStyle name="Comma 2" xfId="2"/>
    <cellStyle name="Comma 2 2" xfId="3"/>
    <cellStyle name="Comma 3" xfId="4"/>
    <cellStyle name="Comma 3 2" xfId="5"/>
    <cellStyle name="Comma 4" xfId="6"/>
    <cellStyle name="Comma 4 2" xfId="7"/>
    <cellStyle name="Comma 5" xfId="15"/>
    <cellStyle name="Currency 2" xfId="8"/>
    <cellStyle name="Currency 3" xfId="9"/>
    <cellStyle name="Normal" xfId="0" builtinId="0"/>
    <cellStyle name="Normal 2" xfId="10"/>
    <cellStyle name="Normal 3" xfId="11"/>
    <cellStyle name="Percent" xfId="12" builtinId="5"/>
    <cellStyle name="Percent 2" xfId="13"/>
    <cellStyle name="Percent 3" xfId="14"/>
  </cellStyles>
  <dxfs count="1">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10" Type="http://schemas.openxmlformats.org/officeDocument/2006/relationships/worksheet" Target="worksheets/sheet10.xml"/><Relationship Id="rId19"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108-Tinh%20Gi&#7843;n%20Bi&#234;n%20Ch&#7871;/N&#259;m%202019/&#272;&#7907;t%201%20n&#259;m%202019/B&#225;o%20c&#225;o%2006%20th&#225;ng%20&#273;&#7847;u%20n&#259;m/Bi&#7875;u%20b&#225;o%20c&#225;o.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hông báo"/>
      <sheetName val="2-Tống hợp"/>
      <sheetName val="1a- Nghỉ hưu trước tuổi-T01"/>
      <sheetName val="Thôi việc ngay"/>
      <sheetName val="1B"/>
      <sheetName val="2B"/>
      <sheetName val="3B"/>
      <sheetName val="1c-Thôi việc ngay "/>
      <sheetName val="1a-Nghỉ hưu trước tuổi"/>
      <sheetName val="1a-Trình BNV"/>
      <sheetName val="1c-Trình BNV"/>
      <sheetName val="2-Trình BNV"/>
      <sheetName val="1b-Chuyển sang tổ chức"/>
      <sheetName val="1d-Thôi việc sau khi đi học"/>
      <sheetName val="3-Báo cáo"/>
      <sheetName val="4-Báo cáo"/>
      <sheetName val="5-Báo cáo"/>
    </sheetNames>
    <sheetDataSet>
      <sheetData sheetId="0"/>
      <sheetData sheetId="1"/>
      <sheetData sheetId="2">
        <row r="17">
          <cell r="AK17">
            <v>4474978531</v>
          </cell>
        </row>
      </sheetData>
      <sheetData sheetId="3">
        <row r="16">
          <cell r="AJ16">
            <v>105775905</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Q95"/>
  <sheetViews>
    <sheetView topLeftCell="A12" workbookViewId="0">
      <selection activeCell="Y28" sqref="Y28:AA66"/>
    </sheetView>
  </sheetViews>
  <sheetFormatPr defaultRowHeight="14.5" x14ac:dyDescent="0.35"/>
  <cols>
    <col min="1" max="1" width="1.26953125" customWidth="1"/>
    <col min="2" max="2" width="3.26953125" customWidth="1"/>
    <col min="3" max="3" width="28.7265625" customWidth="1"/>
    <col min="4" max="4" width="9.1796875" hidden="1" customWidth="1"/>
    <col min="5" max="5" width="4.81640625" hidden="1" customWidth="1"/>
    <col min="6" max="6" width="19.453125" hidden="1" customWidth="1"/>
    <col min="7" max="7" width="5" hidden="1" customWidth="1"/>
    <col min="8" max="8" width="9.1796875" hidden="1" customWidth="1"/>
    <col min="9" max="9" width="4.26953125" hidden="1" customWidth="1"/>
    <col min="10" max="10" width="12.81640625" hidden="1" customWidth="1"/>
    <col min="11" max="11" width="6.1796875" hidden="1" customWidth="1"/>
    <col min="12" max="12" width="9.7265625" hidden="1" customWidth="1"/>
    <col min="13" max="13" width="4.26953125" hidden="1" customWidth="1"/>
    <col min="14" max="14" width="9.1796875" hidden="1" customWidth="1"/>
    <col min="15" max="15" width="3.7265625" hidden="1" customWidth="1"/>
    <col min="16" max="16" width="9.1796875" hidden="1" customWidth="1"/>
    <col min="17" max="17" width="4.453125" hidden="1" customWidth="1"/>
    <col min="18" max="18" width="10" hidden="1" customWidth="1"/>
    <col min="19" max="19" width="11.7265625" style="363" hidden="1" customWidth="1"/>
    <col min="20" max="20" width="12.26953125" style="364" hidden="1" customWidth="1"/>
    <col min="21" max="21" width="6.7265625" hidden="1" customWidth="1"/>
    <col min="22" max="22" width="10" hidden="1" customWidth="1"/>
    <col min="23" max="23" width="10.26953125" style="20" hidden="1" customWidth="1"/>
    <col min="24" max="24" width="6.54296875" hidden="1" customWidth="1"/>
    <col min="25" max="28" width="13.54296875" customWidth="1"/>
    <col min="29" max="29" width="12.1796875" style="77" customWidth="1"/>
    <col min="30" max="30" width="18.1796875" customWidth="1"/>
    <col min="31" max="31" width="18.1796875" style="365" customWidth="1"/>
    <col min="32" max="32" width="32.1796875" customWidth="1"/>
    <col min="34" max="34" width="11.7265625" customWidth="1"/>
    <col min="35" max="35" width="11.54296875" customWidth="1"/>
  </cols>
  <sheetData>
    <row r="1" spans="2:43" s="218" customFormat="1" ht="19.5" customHeight="1" x14ac:dyDescent="0.35">
      <c r="B1" s="693"/>
      <c r="C1" s="693"/>
      <c r="D1" s="693"/>
      <c r="E1" s="693"/>
      <c r="F1" s="217"/>
      <c r="G1" s="217"/>
      <c r="H1" s="217"/>
      <c r="I1" s="217"/>
      <c r="J1" s="217"/>
      <c r="K1" s="217"/>
      <c r="L1" s="217"/>
      <c r="M1" s="217"/>
      <c r="N1" s="217"/>
      <c r="O1" s="217"/>
      <c r="P1" s="217"/>
      <c r="Q1" s="217"/>
      <c r="R1" s="217"/>
      <c r="S1" s="292"/>
      <c r="T1" s="293"/>
      <c r="U1" s="217"/>
      <c r="V1" s="217"/>
      <c r="W1" s="294"/>
      <c r="X1" s="694" t="s">
        <v>502</v>
      </c>
      <c r="Y1" s="694"/>
      <c r="Z1" s="694"/>
      <c r="AA1" s="694"/>
      <c r="AB1" s="694"/>
      <c r="AC1" s="694"/>
      <c r="AD1" s="694"/>
      <c r="AE1" s="694"/>
      <c r="AF1" s="694"/>
      <c r="AG1" s="217"/>
      <c r="AH1" s="217"/>
      <c r="AI1" s="217"/>
      <c r="AJ1" s="217"/>
      <c r="AK1" s="217"/>
      <c r="AL1" s="217"/>
      <c r="AM1" s="217"/>
      <c r="AN1" s="217"/>
      <c r="AO1" s="217"/>
      <c r="AP1" s="217"/>
      <c r="AQ1" s="217"/>
    </row>
    <row r="2" spans="2:43" s="295" customFormat="1" ht="18.5" hidden="1" x14ac:dyDescent="0.45">
      <c r="B2" s="695" t="s">
        <v>232</v>
      </c>
      <c r="C2" s="695"/>
      <c r="D2" s="695"/>
      <c r="E2" s="695"/>
      <c r="F2" s="296"/>
      <c r="G2" s="296"/>
      <c r="H2" s="296"/>
      <c r="I2" s="296"/>
      <c r="J2" s="296"/>
      <c r="K2" s="296"/>
      <c r="L2" s="296"/>
      <c r="M2" s="296"/>
      <c r="N2" s="296"/>
      <c r="O2" s="296"/>
      <c r="P2" s="696"/>
      <c r="Q2" s="696"/>
      <c r="R2" s="696"/>
      <c r="S2" s="696"/>
      <c r="T2" s="696"/>
      <c r="U2" s="696"/>
      <c r="V2" s="696"/>
      <c r="W2" s="696"/>
      <c r="X2" s="696"/>
      <c r="Y2" s="696"/>
      <c r="Z2" s="696"/>
      <c r="AA2" s="696"/>
      <c r="AB2" s="696"/>
      <c r="AC2" s="696"/>
      <c r="AD2" s="696"/>
      <c r="AE2" s="696"/>
      <c r="AF2" s="696"/>
      <c r="AG2" s="296"/>
      <c r="AH2" s="296"/>
      <c r="AI2" s="296"/>
      <c r="AJ2" s="296"/>
      <c r="AK2" s="296"/>
      <c r="AL2" s="296"/>
      <c r="AM2" s="296"/>
      <c r="AN2" s="296"/>
      <c r="AO2" s="296"/>
      <c r="AP2" s="296"/>
      <c r="AQ2" s="296"/>
    </row>
    <row r="3" spans="2:43" s="295" customFormat="1" ht="18.5" hidden="1" x14ac:dyDescent="0.45">
      <c r="B3" s="697" t="s">
        <v>233</v>
      </c>
      <c r="C3" s="697"/>
      <c r="D3" s="697"/>
      <c r="E3" s="697"/>
      <c r="F3" s="296"/>
      <c r="G3" s="296"/>
      <c r="H3" s="296"/>
      <c r="I3" s="296"/>
      <c r="J3" s="296"/>
      <c r="K3" s="296"/>
      <c r="L3" s="296"/>
      <c r="M3" s="296"/>
      <c r="N3" s="296"/>
      <c r="O3" s="296"/>
      <c r="P3" s="697"/>
      <c r="Q3" s="697"/>
      <c r="R3" s="697"/>
      <c r="S3" s="697"/>
      <c r="T3" s="697"/>
      <c r="U3" s="697"/>
      <c r="V3" s="697"/>
      <c r="W3" s="697"/>
      <c r="X3" s="697"/>
      <c r="Y3" s="697"/>
      <c r="Z3" s="697"/>
      <c r="AA3" s="697"/>
      <c r="AB3" s="697"/>
      <c r="AC3" s="697"/>
      <c r="AD3" s="697"/>
      <c r="AE3" s="697"/>
      <c r="AF3" s="697"/>
      <c r="AG3" s="296"/>
      <c r="AH3" s="296"/>
      <c r="AI3" s="296"/>
      <c r="AJ3" s="296"/>
      <c r="AK3" s="296"/>
      <c r="AL3" s="296"/>
      <c r="AM3" s="296"/>
      <c r="AN3" s="296"/>
      <c r="AO3" s="296"/>
      <c r="AP3" s="296"/>
      <c r="AQ3" s="296"/>
    </row>
    <row r="4" spans="2:43" s="295" customFormat="1" ht="18.5" x14ac:dyDescent="0.45">
      <c r="B4" s="696" t="s">
        <v>503</v>
      </c>
      <c r="C4" s="696"/>
      <c r="D4" s="696"/>
      <c r="E4" s="696"/>
      <c r="F4" s="296"/>
      <c r="G4" s="296"/>
      <c r="H4" s="296"/>
      <c r="I4" s="296"/>
      <c r="J4" s="296"/>
      <c r="K4" s="296"/>
      <c r="L4" s="296"/>
      <c r="M4" s="296"/>
      <c r="N4" s="296"/>
      <c r="O4" s="296"/>
      <c r="P4" s="696" t="s">
        <v>383</v>
      </c>
      <c r="Q4" s="696"/>
      <c r="R4" s="696"/>
      <c r="S4" s="696"/>
      <c r="T4" s="696"/>
      <c r="U4" s="696"/>
      <c r="V4" s="696"/>
      <c r="W4" s="696"/>
      <c r="X4" s="696"/>
      <c r="Y4" s="696"/>
      <c r="Z4" s="696"/>
      <c r="AA4" s="696"/>
      <c r="AB4" s="696"/>
      <c r="AC4" s="696"/>
      <c r="AD4" s="696"/>
      <c r="AE4" s="696"/>
      <c r="AF4" s="696"/>
      <c r="AG4" s="296"/>
      <c r="AH4" s="296"/>
      <c r="AI4" s="296"/>
      <c r="AJ4" s="296"/>
      <c r="AK4" s="296"/>
      <c r="AL4" s="296"/>
      <c r="AM4" s="296"/>
      <c r="AN4" s="296"/>
      <c r="AO4" s="296"/>
      <c r="AP4" s="296"/>
      <c r="AQ4" s="296"/>
    </row>
    <row r="5" spans="2:43" s="295" customFormat="1" ht="18.5" x14ac:dyDescent="0.45">
      <c r="B5" s="697" t="s">
        <v>135</v>
      </c>
      <c r="C5" s="697"/>
      <c r="D5" s="697"/>
      <c r="E5" s="697"/>
      <c r="F5" s="296"/>
      <c r="G5" s="296"/>
      <c r="H5" s="296"/>
      <c r="I5" s="296"/>
      <c r="J5" s="296"/>
      <c r="K5" s="296"/>
      <c r="L5" s="296"/>
      <c r="M5" s="296"/>
      <c r="N5" s="296"/>
      <c r="O5" s="296"/>
      <c r="P5" s="697" t="s">
        <v>384</v>
      </c>
      <c r="Q5" s="697"/>
      <c r="R5" s="697"/>
      <c r="S5" s="697"/>
      <c r="T5" s="697"/>
      <c r="U5" s="697"/>
      <c r="V5" s="697"/>
      <c r="W5" s="697"/>
      <c r="X5" s="697"/>
      <c r="Y5" s="697"/>
      <c r="Z5" s="697"/>
      <c r="AA5" s="697"/>
      <c r="AB5" s="697"/>
      <c r="AC5" s="697"/>
      <c r="AD5" s="697"/>
      <c r="AE5" s="697"/>
      <c r="AF5" s="697"/>
      <c r="AG5" s="296"/>
      <c r="AH5" s="296"/>
      <c r="AI5" s="296"/>
      <c r="AJ5" s="296"/>
      <c r="AK5" s="296"/>
      <c r="AL5" s="296"/>
      <c r="AM5" s="296"/>
      <c r="AN5" s="296"/>
      <c r="AO5" s="296"/>
      <c r="AP5" s="296"/>
      <c r="AQ5" s="296"/>
    </row>
    <row r="6" spans="2:43" s="295" customFormat="1" ht="19.5" customHeight="1" x14ac:dyDescent="0.45">
      <c r="B6" s="297"/>
      <c r="C6" s="297"/>
      <c r="D6" s="297"/>
      <c r="E6" s="297"/>
      <c r="F6" s="296"/>
      <c r="G6" s="296"/>
      <c r="H6" s="296"/>
      <c r="I6" s="296"/>
      <c r="J6" s="296"/>
      <c r="K6" s="296"/>
      <c r="L6" s="296"/>
      <c r="M6" s="296"/>
      <c r="N6" s="296"/>
      <c r="O6" s="296"/>
      <c r="P6" s="296"/>
      <c r="Q6" s="296"/>
      <c r="R6" s="296"/>
      <c r="S6" s="298"/>
      <c r="T6" s="299"/>
      <c r="U6" s="296"/>
      <c r="V6" s="296"/>
      <c r="W6" s="300"/>
      <c r="X6" s="297"/>
      <c r="Y6" s="297"/>
      <c r="Z6" s="297"/>
      <c r="AA6" s="297"/>
      <c r="AB6" s="297"/>
      <c r="AC6" s="297"/>
      <c r="AD6" s="297"/>
      <c r="AE6" s="297"/>
      <c r="AF6" s="297"/>
      <c r="AG6" s="296"/>
      <c r="AH6" s="296"/>
      <c r="AI6" s="296"/>
      <c r="AJ6" s="296"/>
      <c r="AK6" s="296"/>
      <c r="AL6" s="296"/>
      <c r="AM6" s="296"/>
      <c r="AN6" s="296"/>
      <c r="AO6" s="296"/>
      <c r="AP6" s="296"/>
      <c r="AQ6" s="296"/>
    </row>
    <row r="7" spans="2:43" s="301" customFormat="1" ht="21" customHeight="1" x14ac:dyDescent="0.35">
      <c r="B7" s="696" t="s">
        <v>641</v>
      </c>
      <c r="C7" s="696"/>
      <c r="D7" s="696"/>
      <c r="E7" s="696"/>
      <c r="F7" s="696"/>
      <c r="G7" s="696"/>
      <c r="H7" s="696"/>
      <c r="I7" s="696"/>
      <c r="J7" s="696"/>
      <c r="K7" s="696"/>
      <c r="L7" s="696"/>
      <c r="M7" s="696"/>
      <c r="N7" s="696"/>
      <c r="O7" s="696"/>
      <c r="P7" s="696"/>
      <c r="Q7" s="696"/>
      <c r="R7" s="696"/>
      <c r="S7" s="696"/>
      <c r="T7" s="696"/>
      <c r="U7" s="696"/>
      <c r="V7" s="696"/>
      <c r="W7" s="696"/>
      <c r="X7" s="696"/>
      <c r="Y7" s="696"/>
      <c r="Z7" s="696"/>
      <c r="AA7" s="696"/>
      <c r="AB7" s="696"/>
      <c r="AC7" s="696"/>
      <c r="AD7" s="696"/>
      <c r="AE7" s="696"/>
      <c r="AF7" s="696"/>
    </row>
    <row r="8" spans="2:43" s="302" customFormat="1" ht="16.5" customHeight="1" x14ac:dyDescent="0.4">
      <c r="B8" s="689" t="s">
        <v>440</v>
      </c>
      <c r="C8" s="689"/>
      <c r="D8" s="689"/>
      <c r="E8" s="689"/>
      <c r="F8" s="689"/>
      <c r="G8" s="689"/>
      <c r="H8" s="689"/>
      <c r="I8" s="689"/>
      <c r="J8" s="689"/>
      <c r="K8" s="689"/>
      <c r="L8" s="689"/>
      <c r="M8" s="689"/>
      <c r="N8" s="689"/>
      <c r="O8" s="689"/>
      <c r="P8" s="689"/>
      <c r="Q8" s="689"/>
      <c r="R8" s="689"/>
      <c r="S8" s="689"/>
      <c r="T8" s="689"/>
      <c r="U8" s="689"/>
      <c r="V8" s="689"/>
      <c r="W8" s="689"/>
      <c r="X8" s="689"/>
      <c r="Y8" s="689"/>
      <c r="Z8" s="689"/>
      <c r="AA8" s="689"/>
      <c r="AB8" s="689"/>
      <c r="AC8" s="689"/>
      <c r="AD8" s="689"/>
      <c r="AE8" s="689"/>
      <c r="AF8" s="689"/>
    </row>
    <row r="9" spans="2:43" s="302" customFormat="1" ht="17" hidden="1" x14ac:dyDescent="0.4">
      <c r="B9" s="688" t="s">
        <v>504</v>
      </c>
      <c r="C9" s="688"/>
      <c r="D9" s="688"/>
      <c r="E9" s="688"/>
      <c r="F9" s="688"/>
      <c r="G9" s="688"/>
      <c r="H9" s="688"/>
      <c r="I9" s="688"/>
      <c r="J9" s="688"/>
      <c r="K9" s="688"/>
      <c r="L9" s="688"/>
      <c r="M9" s="688"/>
      <c r="N9" s="688"/>
      <c r="O9" s="688"/>
      <c r="P9" s="688"/>
      <c r="Q9" s="688"/>
      <c r="R9" s="688"/>
      <c r="S9" s="688"/>
      <c r="T9" s="688"/>
      <c r="U9" s="688"/>
      <c r="V9" s="688"/>
      <c r="W9" s="688"/>
      <c r="X9" s="688"/>
      <c r="Y9" s="688"/>
      <c r="Z9" s="688"/>
      <c r="AA9" s="688"/>
      <c r="AB9" s="688"/>
      <c r="AC9" s="688"/>
      <c r="AD9" s="688"/>
      <c r="AE9" s="688"/>
      <c r="AF9" s="688"/>
    </row>
    <row r="10" spans="2:43" s="302" customFormat="1" ht="17" hidden="1" x14ac:dyDescent="0.4">
      <c r="B10" s="689" t="s">
        <v>505</v>
      </c>
      <c r="C10" s="689"/>
      <c r="D10" s="689"/>
      <c r="E10" s="689"/>
      <c r="F10" s="689"/>
      <c r="G10" s="689"/>
      <c r="H10" s="689"/>
      <c r="I10" s="689"/>
      <c r="J10" s="689"/>
      <c r="K10" s="689"/>
      <c r="L10" s="689"/>
      <c r="M10" s="689"/>
      <c r="N10" s="689"/>
      <c r="O10" s="689"/>
      <c r="P10" s="689"/>
      <c r="Q10" s="689"/>
      <c r="R10" s="689"/>
      <c r="S10" s="689"/>
      <c r="T10" s="689"/>
      <c r="U10" s="689"/>
      <c r="V10" s="689"/>
      <c r="W10" s="689"/>
      <c r="X10" s="689"/>
      <c r="Y10" s="689"/>
      <c r="Z10" s="689"/>
      <c r="AA10" s="689"/>
      <c r="AB10" s="689"/>
      <c r="AC10" s="689"/>
      <c r="AD10" s="689"/>
      <c r="AE10" s="689"/>
      <c r="AF10" s="689"/>
    </row>
    <row r="11" spans="2:43" s="302" customFormat="1" ht="17" hidden="1" x14ac:dyDescent="0.4">
      <c r="B11" s="688" t="s">
        <v>647</v>
      </c>
      <c r="C11" s="688"/>
      <c r="D11" s="688"/>
      <c r="E11" s="688"/>
      <c r="F11" s="688"/>
      <c r="G11" s="688"/>
      <c r="H11" s="688"/>
      <c r="I11" s="688"/>
      <c r="J11" s="688"/>
      <c r="K11" s="688"/>
      <c r="L11" s="688"/>
      <c r="M11" s="688"/>
      <c r="N11" s="688"/>
      <c r="O11" s="688"/>
      <c r="P11" s="688"/>
      <c r="Q11" s="688"/>
      <c r="R11" s="688"/>
      <c r="S11" s="688"/>
      <c r="T11" s="688"/>
      <c r="U11" s="688"/>
      <c r="V11" s="688"/>
      <c r="W11" s="688"/>
      <c r="X11" s="688"/>
      <c r="Y11" s="688"/>
      <c r="Z11" s="688"/>
      <c r="AA11" s="688"/>
      <c r="AB11" s="688"/>
      <c r="AC11" s="688"/>
      <c r="AD11" s="688"/>
      <c r="AE11" s="688"/>
      <c r="AF11" s="688"/>
    </row>
    <row r="12" spans="2:43" s="302" customFormat="1" ht="17" x14ac:dyDescent="0.4">
      <c r="B12" s="688" t="s">
        <v>648</v>
      </c>
      <c r="C12" s="688"/>
      <c r="D12" s="688"/>
      <c r="E12" s="688"/>
      <c r="F12" s="688"/>
      <c r="G12" s="688"/>
      <c r="H12" s="688"/>
      <c r="I12" s="688"/>
      <c r="J12" s="688"/>
      <c r="K12" s="688"/>
      <c r="L12" s="688"/>
      <c r="M12" s="688"/>
      <c r="N12" s="688"/>
      <c r="O12" s="688"/>
      <c r="P12" s="688"/>
      <c r="Q12" s="688"/>
      <c r="R12" s="688"/>
      <c r="S12" s="688"/>
      <c r="T12" s="688"/>
      <c r="U12" s="688"/>
      <c r="V12" s="688"/>
      <c r="W12" s="688"/>
      <c r="X12" s="688"/>
      <c r="Y12" s="688"/>
      <c r="Z12" s="688"/>
      <c r="AA12" s="688"/>
      <c r="AB12" s="688"/>
      <c r="AC12" s="688"/>
      <c r="AD12" s="688"/>
      <c r="AE12" s="688"/>
      <c r="AF12" s="688"/>
    </row>
    <row r="13" spans="2:43" s="302" customFormat="1" ht="19.5" customHeight="1" thickBot="1" x14ac:dyDescent="0.45">
      <c r="B13" s="689"/>
      <c r="C13" s="689"/>
      <c r="D13" s="689"/>
      <c r="E13" s="689"/>
      <c r="F13" s="689"/>
      <c r="G13" s="689"/>
      <c r="H13" s="689"/>
      <c r="I13" s="689"/>
      <c r="J13" s="689"/>
      <c r="K13" s="689"/>
      <c r="L13" s="689"/>
      <c r="M13" s="689"/>
      <c r="N13" s="689"/>
      <c r="O13" s="689"/>
      <c r="P13" s="689"/>
      <c r="Q13" s="689"/>
      <c r="R13" s="689"/>
      <c r="S13" s="689"/>
      <c r="T13" s="689"/>
      <c r="U13" s="689"/>
      <c r="V13" s="689"/>
      <c r="W13" s="689"/>
      <c r="X13" s="689"/>
      <c r="Y13" s="689"/>
      <c r="Z13" s="689"/>
      <c r="AA13" s="689"/>
      <c r="AB13" s="689"/>
      <c r="AC13" s="689"/>
      <c r="AD13" s="689"/>
      <c r="AE13" s="689"/>
      <c r="AF13" s="689"/>
    </row>
    <row r="14" spans="2:43" s="219" customFormat="1" ht="22.5" customHeight="1" x14ac:dyDescent="0.3">
      <c r="B14" s="690" t="s">
        <v>3</v>
      </c>
      <c r="C14" s="677" t="s">
        <v>4</v>
      </c>
      <c r="D14" s="686" t="s">
        <v>5</v>
      </c>
      <c r="E14" s="686" t="s">
        <v>6</v>
      </c>
      <c r="F14" s="686" t="s">
        <v>7</v>
      </c>
      <c r="G14" s="686" t="s">
        <v>8</v>
      </c>
      <c r="H14" s="686"/>
      <c r="I14" s="686" t="s">
        <v>9</v>
      </c>
      <c r="J14" s="686"/>
      <c r="K14" s="686" t="s">
        <v>10</v>
      </c>
      <c r="L14" s="686"/>
      <c r="M14" s="686" t="s">
        <v>11</v>
      </c>
      <c r="N14" s="686"/>
      <c r="O14" s="686" t="s">
        <v>12</v>
      </c>
      <c r="P14" s="686"/>
      <c r="Q14" s="686" t="s">
        <v>13</v>
      </c>
      <c r="R14" s="686"/>
      <c r="S14" s="678" t="s">
        <v>98</v>
      </c>
      <c r="T14" s="680" t="s">
        <v>242</v>
      </c>
      <c r="U14" s="682" t="s">
        <v>14</v>
      </c>
      <c r="V14" s="683"/>
      <c r="W14" s="684" t="s">
        <v>15</v>
      </c>
      <c r="X14" s="686" t="s">
        <v>16</v>
      </c>
      <c r="Y14" s="677" t="s">
        <v>76</v>
      </c>
      <c r="Z14" s="677"/>
      <c r="AA14" s="677"/>
      <c r="AB14" s="677"/>
      <c r="AC14" s="666" t="s">
        <v>506</v>
      </c>
      <c r="AD14" s="667"/>
      <c r="AE14" s="668"/>
      <c r="AF14" s="669" t="s">
        <v>17</v>
      </c>
    </row>
    <row r="15" spans="2:43" s="219" customFormat="1" ht="72" customHeight="1" x14ac:dyDescent="0.3">
      <c r="B15" s="691"/>
      <c r="C15" s="692"/>
      <c r="D15" s="687"/>
      <c r="E15" s="687"/>
      <c r="F15" s="687"/>
      <c r="G15" s="223" t="s">
        <v>18</v>
      </c>
      <c r="H15" s="223" t="s">
        <v>19</v>
      </c>
      <c r="I15" s="223" t="s">
        <v>20</v>
      </c>
      <c r="J15" s="223" t="s">
        <v>19</v>
      </c>
      <c r="K15" s="223" t="s">
        <v>21</v>
      </c>
      <c r="L15" s="223" t="s">
        <v>19</v>
      </c>
      <c r="M15" s="223" t="s">
        <v>21</v>
      </c>
      <c r="N15" s="223" t="s">
        <v>19</v>
      </c>
      <c r="O15" s="223" t="s">
        <v>20</v>
      </c>
      <c r="P15" s="223" t="s">
        <v>19</v>
      </c>
      <c r="Q15" s="223" t="s">
        <v>20</v>
      </c>
      <c r="R15" s="223" t="s">
        <v>19</v>
      </c>
      <c r="S15" s="679"/>
      <c r="T15" s="681"/>
      <c r="U15" s="223" t="s">
        <v>22</v>
      </c>
      <c r="V15" s="223" t="s">
        <v>23</v>
      </c>
      <c r="W15" s="685"/>
      <c r="X15" s="687"/>
      <c r="Y15" s="367" t="s">
        <v>78</v>
      </c>
      <c r="Z15" s="367" t="s">
        <v>79</v>
      </c>
      <c r="AA15" s="367" t="s">
        <v>80</v>
      </c>
      <c r="AB15" s="367" t="s">
        <v>81</v>
      </c>
      <c r="AC15" s="291" t="s">
        <v>22</v>
      </c>
      <c r="AD15" s="368" t="s">
        <v>507</v>
      </c>
      <c r="AE15" s="368" t="s">
        <v>508</v>
      </c>
      <c r="AF15" s="670"/>
    </row>
    <row r="16" spans="2:43" s="303" customFormat="1" ht="11.5" x14ac:dyDescent="0.25">
      <c r="B16" s="259" t="s">
        <v>28</v>
      </c>
      <c r="C16" s="224" t="s">
        <v>359</v>
      </c>
      <c r="D16" s="224">
        <v>1</v>
      </c>
      <c r="E16" s="224">
        <v>2</v>
      </c>
      <c r="F16" s="224">
        <v>3</v>
      </c>
      <c r="G16" s="224">
        <v>4</v>
      </c>
      <c r="H16" s="224">
        <v>5</v>
      </c>
      <c r="I16" s="224">
        <v>6</v>
      </c>
      <c r="J16" s="224">
        <v>7</v>
      </c>
      <c r="K16" s="224">
        <v>8</v>
      </c>
      <c r="L16" s="224">
        <v>9</v>
      </c>
      <c r="M16" s="224">
        <v>10</v>
      </c>
      <c r="N16" s="224">
        <v>11</v>
      </c>
      <c r="O16" s="224">
        <v>12</v>
      </c>
      <c r="P16" s="224">
        <v>13</v>
      </c>
      <c r="Q16" s="224">
        <v>14</v>
      </c>
      <c r="R16" s="224">
        <v>15</v>
      </c>
      <c r="S16" s="304">
        <v>16</v>
      </c>
      <c r="T16" s="305">
        <v>17</v>
      </c>
      <c r="U16" s="224">
        <v>18</v>
      </c>
      <c r="V16" s="224">
        <v>19</v>
      </c>
      <c r="W16" s="224">
        <v>20</v>
      </c>
      <c r="X16" s="224">
        <v>21</v>
      </c>
      <c r="Y16" s="224">
        <v>1</v>
      </c>
      <c r="Z16" s="224">
        <v>2</v>
      </c>
      <c r="AA16" s="224">
        <v>3</v>
      </c>
      <c r="AB16" s="224">
        <v>4</v>
      </c>
      <c r="AC16" s="224">
        <v>5</v>
      </c>
      <c r="AD16" s="224">
        <v>6</v>
      </c>
      <c r="AE16" s="224">
        <v>7</v>
      </c>
      <c r="AF16" s="260">
        <v>8</v>
      </c>
    </row>
    <row r="17" spans="1:35" s="303" customFormat="1" ht="24.75" hidden="1" customHeight="1" x14ac:dyDescent="0.25">
      <c r="B17" s="306" t="s">
        <v>28</v>
      </c>
      <c r="C17" s="307" t="s">
        <v>361</v>
      </c>
      <c r="D17" s="308"/>
      <c r="E17" s="308" t="str">
        <f>COUNTA(D19:D54)&amp;" HỒ SƠ"</f>
        <v>35 HỒ SƠ</v>
      </c>
      <c r="F17" s="309"/>
      <c r="G17" s="309"/>
      <c r="H17" s="309"/>
      <c r="I17" s="309"/>
      <c r="J17" s="309"/>
      <c r="K17" s="309"/>
      <c r="L17" s="309"/>
      <c r="M17" s="309"/>
      <c r="N17" s="309"/>
      <c r="O17" s="309"/>
      <c r="P17" s="309"/>
      <c r="Q17" s="309"/>
      <c r="R17" s="309"/>
      <c r="S17" s="310"/>
      <c r="T17" s="311"/>
      <c r="U17" s="309"/>
      <c r="V17" s="309"/>
      <c r="W17" s="312"/>
      <c r="X17" s="309"/>
      <c r="Y17" s="309"/>
      <c r="Z17" s="309"/>
      <c r="AA17" s="309"/>
      <c r="AB17" s="309"/>
      <c r="AC17" s="313">
        <f>SUM(AC18,AC27)</f>
        <v>6181494375</v>
      </c>
      <c r="AD17" s="313">
        <f>SUM(AD18,AD27)</f>
        <v>68787471</v>
      </c>
      <c r="AE17" s="313">
        <f>SUM(AE18,AE27)</f>
        <v>6112706904</v>
      </c>
      <c r="AF17" s="314"/>
    </row>
    <row r="18" spans="1:35" s="315" customFormat="1" ht="25.5" customHeight="1" x14ac:dyDescent="0.25">
      <c r="B18" s="316" t="s">
        <v>141</v>
      </c>
      <c r="C18" s="317" t="s">
        <v>30</v>
      </c>
      <c r="D18" s="318"/>
      <c r="E18" s="318" t="str">
        <f>COUNTA(D19:D26)&amp;" HỒ SƠ"</f>
        <v>8 HỒ SƠ</v>
      </c>
      <c r="F18" s="319"/>
      <c r="G18" s="319"/>
      <c r="H18" s="319"/>
      <c r="I18" s="319"/>
      <c r="J18" s="319"/>
      <c r="K18" s="319"/>
      <c r="L18" s="319"/>
      <c r="M18" s="319"/>
      <c r="N18" s="319"/>
      <c r="O18" s="319"/>
      <c r="P18" s="319"/>
      <c r="Q18" s="319"/>
      <c r="R18" s="319"/>
      <c r="S18" s="320"/>
      <c r="T18" s="321"/>
      <c r="U18" s="319"/>
      <c r="V18" s="319"/>
      <c r="W18" s="322"/>
      <c r="X18" s="319"/>
      <c r="Y18" s="319"/>
      <c r="Z18" s="319"/>
      <c r="AA18" s="319"/>
      <c r="AB18" s="319"/>
      <c r="AC18" s="323">
        <f>SUM(AC19:AC26)</f>
        <v>728063673</v>
      </c>
      <c r="AD18" s="323">
        <f>SUM(AD19:AD26)</f>
        <v>23780400</v>
      </c>
      <c r="AE18" s="323">
        <f>SUM(AE19:AE26)</f>
        <v>704283273</v>
      </c>
      <c r="AF18" s="324"/>
      <c r="AH18" s="325">
        <f>'[1]1a- Nghỉ hưu trước tuổi-T01'!AK17+'[1]Thôi việc ngay'!AJ16</f>
        <v>4580754436</v>
      </c>
    </row>
    <row r="19" spans="1:35" s="303" customFormat="1" ht="98.25" customHeight="1" x14ac:dyDescent="0.25">
      <c r="A19" s="326"/>
      <c r="B19" s="327">
        <v>1</v>
      </c>
      <c r="C19" s="328" t="s">
        <v>444</v>
      </c>
      <c r="D19" s="329">
        <v>22486</v>
      </c>
      <c r="E19" s="330"/>
      <c r="F19" s="331" t="s">
        <v>509</v>
      </c>
      <c r="G19" s="332">
        <v>4.9800000000000004</v>
      </c>
      <c r="H19" s="329">
        <v>42370</v>
      </c>
      <c r="I19" s="330"/>
      <c r="J19" s="329"/>
      <c r="K19" s="333"/>
      <c r="L19" s="329"/>
      <c r="M19" s="333"/>
      <c r="N19" s="329"/>
      <c r="O19" s="330"/>
      <c r="P19" s="330"/>
      <c r="Q19" s="332">
        <v>4.6500000000000004</v>
      </c>
      <c r="R19" s="329">
        <v>41275</v>
      </c>
      <c r="S19" s="229"/>
      <c r="T19" s="229">
        <v>5913840</v>
      </c>
      <c r="U19" s="330" t="s">
        <v>510</v>
      </c>
      <c r="V19" s="330"/>
      <c r="W19" s="329">
        <v>43466</v>
      </c>
      <c r="X19" s="330" t="s">
        <v>511</v>
      </c>
      <c r="Y19" s="334" t="s">
        <v>158</v>
      </c>
      <c r="Z19" s="334"/>
      <c r="AA19" s="335"/>
      <c r="AB19" s="335"/>
      <c r="AC19" s="336">
        <v>83104250</v>
      </c>
      <c r="AD19" s="335"/>
      <c r="AE19" s="337">
        <f>AC19</f>
        <v>83104250</v>
      </c>
      <c r="AF19" s="221" t="s">
        <v>445</v>
      </c>
    </row>
    <row r="20" spans="1:35" s="303" customFormat="1" ht="98.25" customHeight="1" x14ac:dyDescent="0.25">
      <c r="A20" s="326"/>
      <c r="B20" s="327">
        <v>2</v>
      </c>
      <c r="C20" s="328" t="s">
        <v>469</v>
      </c>
      <c r="D20" s="329">
        <v>22439</v>
      </c>
      <c r="E20" s="330"/>
      <c r="F20" s="331" t="s">
        <v>509</v>
      </c>
      <c r="G20" s="332">
        <v>3.66</v>
      </c>
      <c r="H20" s="329">
        <v>43405</v>
      </c>
      <c r="I20" s="330"/>
      <c r="J20" s="329"/>
      <c r="K20" s="333"/>
      <c r="L20" s="329"/>
      <c r="M20" s="333"/>
      <c r="N20" s="329"/>
      <c r="O20" s="330"/>
      <c r="P20" s="330"/>
      <c r="Q20" s="332" t="s">
        <v>512</v>
      </c>
      <c r="R20" s="329" t="s">
        <v>513</v>
      </c>
      <c r="S20" s="229"/>
      <c r="T20" s="229">
        <v>4053680</v>
      </c>
      <c r="U20" s="330" t="s">
        <v>514</v>
      </c>
      <c r="V20" s="330"/>
      <c r="W20" s="329">
        <v>43466</v>
      </c>
      <c r="X20" s="330" t="s">
        <v>366</v>
      </c>
      <c r="Y20" s="334" t="s">
        <v>158</v>
      </c>
      <c r="Z20" s="334"/>
      <c r="AA20" s="335"/>
      <c r="AB20" s="335"/>
      <c r="AC20" s="336">
        <v>167295960</v>
      </c>
      <c r="AD20" s="335"/>
      <c r="AE20" s="337">
        <f>AC20</f>
        <v>167295960</v>
      </c>
      <c r="AF20" s="221" t="s">
        <v>496</v>
      </c>
    </row>
    <row r="21" spans="1:35" s="303" customFormat="1" ht="136.5" customHeight="1" x14ac:dyDescent="0.25">
      <c r="A21" s="326"/>
      <c r="B21" s="327">
        <v>3</v>
      </c>
      <c r="C21" s="328" t="s">
        <v>489</v>
      </c>
      <c r="D21" s="329">
        <v>22008</v>
      </c>
      <c r="E21" s="330"/>
      <c r="F21" s="331" t="s">
        <v>515</v>
      </c>
      <c r="G21" s="332">
        <v>2.0699999999999998</v>
      </c>
      <c r="H21" s="329">
        <v>43101</v>
      </c>
      <c r="I21" s="330"/>
      <c r="J21" s="329"/>
      <c r="K21" s="333"/>
      <c r="L21" s="329"/>
      <c r="M21" s="333"/>
      <c r="N21" s="329"/>
      <c r="O21" s="330"/>
      <c r="P21" s="330"/>
      <c r="Q21" s="332" t="s">
        <v>516</v>
      </c>
      <c r="R21" s="329" t="s">
        <v>517</v>
      </c>
      <c r="S21" s="229"/>
      <c r="T21" s="229"/>
      <c r="U21" s="330" t="s">
        <v>518</v>
      </c>
      <c r="V21" s="330"/>
      <c r="W21" s="329">
        <v>43466</v>
      </c>
      <c r="X21" s="330" t="s">
        <v>519</v>
      </c>
      <c r="Y21" s="334" t="s">
        <v>158</v>
      </c>
      <c r="Z21" s="334"/>
      <c r="AA21" s="335"/>
      <c r="AB21" s="335"/>
      <c r="AC21" s="336">
        <v>146555890</v>
      </c>
      <c r="AD21" s="335"/>
      <c r="AE21" s="337">
        <f>AC21</f>
        <v>146555890</v>
      </c>
      <c r="AF21" s="221" t="s">
        <v>492</v>
      </c>
    </row>
    <row r="22" spans="1:35" s="303" customFormat="1" ht="123.75" customHeight="1" x14ac:dyDescent="0.25">
      <c r="A22" s="326"/>
      <c r="B22" s="327">
        <v>4</v>
      </c>
      <c r="C22" s="328" t="s">
        <v>491</v>
      </c>
      <c r="D22" s="329">
        <v>22262</v>
      </c>
      <c r="E22" s="330"/>
      <c r="F22" s="331" t="s">
        <v>520</v>
      </c>
      <c r="G22" s="332" t="s">
        <v>521</v>
      </c>
      <c r="H22" s="329">
        <v>43282</v>
      </c>
      <c r="I22" s="330">
        <v>0.3</v>
      </c>
      <c r="J22" s="329" t="s">
        <v>522</v>
      </c>
      <c r="K22" s="333"/>
      <c r="L22" s="329"/>
      <c r="M22" s="333" t="s">
        <v>406</v>
      </c>
      <c r="N22" s="329" t="s">
        <v>523</v>
      </c>
      <c r="O22" s="330"/>
      <c r="P22" s="330"/>
      <c r="Q22" s="332"/>
      <c r="R22" s="329"/>
      <c r="S22" s="229"/>
      <c r="T22" s="229">
        <v>7257835.7999999998</v>
      </c>
      <c r="U22" s="330" t="s">
        <v>524</v>
      </c>
      <c r="V22" s="330"/>
      <c r="W22" s="329">
        <v>43466</v>
      </c>
      <c r="X22" s="330" t="s">
        <v>248</v>
      </c>
      <c r="Y22" s="334" t="s">
        <v>158</v>
      </c>
      <c r="Z22" s="334"/>
      <c r="AA22" s="335"/>
      <c r="AB22" s="335"/>
      <c r="AC22" s="674" t="s">
        <v>392</v>
      </c>
      <c r="AD22" s="675"/>
      <c r="AE22" s="676"/>
      <c r="AF22" s="221" t="s">
        <v>493</v>
      </c>
    </row>
    <row r="23" spans="1:35" s="303" customFormat="1" ht="150.75" customHeight="1" x14ac:dyDescent="0.25">
      <c r="A23" s="326"/>
      <c r="B23" s="327">
        <v>5</v>
      </c>
      <c r="C23" s="328" t="s">
        <v>415</v>
      </c>
      <c r="D23" s="329">
        <v>23000</v>
      </c>
      <c r="E23" s="330"/>
      <c r="F23" s="331" t="s">
        <v>525</v>
      </c>
      <c r="G23" s="332">
        <v>3</v>
      </c>
      <c r="H23" s="329">
        <v>42917</v>
      </c>
      <c r="I23" s="330"/>
      <c r="J23" s="329"/>
      <c r="K23" s="333"/>
      <c r="L23" s="329"/>
      <c r="M23" s="333"/>
      <c r="N23" s="329"/>
      <c r="O23" s="330"/>
      <c r="P23" s="330"/>
      <c r="Q23" s="332" t="s">
        <v>526</v>
      </c>
      <c r="R23" s="329" t="s">
        <v>527</v>
      </c>
      <c r="S23" s="229"/>
      <c r="T23" s="229">
        <v>3359580</v>
      </c>
      <c r="U23" s="330" t="s">
        <v>528</v>
      </c>
      <c r="V23" s="330"/>
      <c r="W23" s="329">
        <v>43466</v>
      </c>
      <c r="X23" s="330" t="s">
        <v>529</v>
      </c>
      <c r="Y23" s="334" t="s">
        <v>158</v>
      </c>
      <c r="Z23" s="334"/>
      <c r="AA23" s="335"/>
      <c r="AB23" s="335"/>
      <c r="AC23" s="336">
        <v>150949129</v>
      </c>
      <c r="AD23" s="335"/>
      <c r="AE23" s="337">
        <f>AC23</f>
        <v>150949129</v>
      </c>
      <c r="AF23" s="221" t="s">
        <v>495</v>
      </c>
    </row>
    <row r="24" spans="1:35" s="303" customFormat="1" ht="95.25" customHeight="1" x14ac:dyDescent="0.25">
      <c r="A24" s="326"/>
      <c r="B24" s="327">
        <v>6</v>
      </c>
      <c r="C24" s="328" t="s">
        <v>479</v>
      </c>
      <c r="D24" s="329">
        <v>24944</v>
      </c>
      <c r="E24" s="330"/>
      <c r="F24" s="331" t="s">
        <v>530</v>
      </c>
      <c r="G24" s="332" t="s">
        <v>531</v>
      </c>
      <c r="H24" s="329">
        <v>43101</v>
      </c>
      <c r="I24" s="330"/>
      <c r="J24" s="329"/>
      <c r="K24" s="333"/>
      <c r="L24" s="329"/>
      <c r="M24" s="333" t="s">
        <v>441</v>
      </c>
      <c r="N24" s="329" t="s">
        <v>523</v>
      </c>
      <c r="O24" s="330"/>
      <c r="P24" s="330"/>
      <c r="Q24" s="332"/>
      <c r="R24" s="329"/>
      <c r="S24" s="229"/>
      <c r="T24" s="229">
        <v>4665949.2</v>
      </c>
      <c r="U24" s="330" t="s">
        <v>532</v>
      </c>
      <c r="V24" s="330"/>
      <c r="W24" s="329">
        <v>43466</v>
      </c>
      <c r="X24" s="330" t="s">
        <v>533</v>
      </c>
      <c r="Y24" s="334" t="s">
        <v>158</v>
      </c>
      <c r="Z24" s="334"/>
      <c r="AA24" s="335"/>
      <c r="AB24" s="335"/>
      <c r="AC24" s="336">
        <v>56527146</v>
      </c>
      <c r="AD24" s="335"/>
      <c r="AE24" s="337">
        <f>AC24</f>
        <v>56527146</v>
      </c>
      <c r="AF24" s="221" t="s">
        <v>480</v>
      </c>
      <c r="AI24" s="336">
        <v>5653801872</v>
      </c>
    </row>
    <row r="25" spans="1:35" s="303" customFormat="1" ht="101.25" customHeight="1" x14ac:dyDescent="0.25">
      <c r="A25" s="326"/>
      <c r="B25" s="327">
        <v>7</v>
      </c>
      <c r="C25" s="328" t="s">
        <v>485</v>
      </c>
      <c r="D25" s="329">
        <v>23149</v>
      </c>
      <c r="E25" s="330"/>
      <c r="F25" s="331" t="s">
        <v>534</v>
      </c>
      <c r="G25" s="332">
        <v>4.6500000000000004</v>
      </c>
      <c r="H25" s="329">
        <v>43009</v>
      </c>
      <c r="I25" s="330">
        <v>0.3</v>
      </c>
      <c r="J25" s="329">
        <v>40269</v>
      </c>
      <c r="K25" s="333"/>
      <c r="L25" s="329"/>
      <c r="M25" s="333"/>
      <c r="N25" s="329"/>
      <c r="O25" s="330"/>
      <c r="P25" s="330"/>
      <c r="Q25" s="332" t="s">
        <v>535</v>
      </c>
      <c r="R25" s="329" t="s">
        <v>536</v>
      </c>
      <c r="S25" s="229"/>
      <c r="T25" s="229">
        <v>5515455</v>
      </c>
      <c r="U25" s="330" t="s">
        <v>537</v>
      </c>
      <c r="V25" s="330"/>
      <c r="W25" s="329">
        <v>43466</v>
      </c>
      <c r="X25" s="330" t="s">
        <v>538</v>
      </c>
      <c r="Y25" s="334"/>
      <c r="Z25" s="334"/>
      <c r="AA25" s="335" t="s">
        <v>158</v>
      </c>
      <c r="AB25" s="335"/>
      <c r="AC25" s="336">
        <v>66912698</v>
      </c>
      <c r="AD25" s="337">
        <v>11890200</v>
      </c>
      <c r="AE25" s="337">
        <v>55022498</v>
      </c>
      <c r="AF25" s="221" t="s">
        <v>486</v>
      </c>
      <c r="AI25" s="336">
        <v>527692503</v>
      </c>
    </row>
    <row r="26" spans="1:35" s="303" customFormat="1" ht="102.75" customHeight="1" x14ac:dyDescent="0.25">
      <c r="A26" s="326"/>
      <c r="B26" s="327">
        <v>8</v>
      </c>
      <c r="C26" s="328" t="s">
        <v>487</v>
      </c>
      <c r="D26" s="329">
        <v>22656</v>
      </c>
      <c r="E26" s="330"/>
      <c r="F26" s="331" t="s">
        <v>539</v>
      </c>
      <c r="G26" s="332" t="s">
        <v>473</v>
      </c>
      <c r="H26" s="329">
        <v>43466</v>
      </c>
      <c r="I26" s="330"/>
      <c r="J26" s="329"/>
      <c r="K26" s="333"/>
      <c r="L26" s="329"/>
      <c r="M26" s="333" t="s">
        <v>390</v>
      </c>
      <c r="N26" s="329" t="s">
        <v>462</v>
      </c>
      <c r="O26" s="330"/>
      <c r="P26" s="330"/>
      <c r="Q26" s="332"/>
      <c r="R26" s="329"/>
      <c r="S26" s="229"/>
      <c r="T26" s="229">
        <v>5515462.6333333338</v>
      </c>
      <c r="U26" s="330" t="s">
        <v>540</v>
      </c>
      <c r="V26" s="330"/>
      <c r="W26" s="329">
        <v>43497</v>
      </c>
      <c r="X26" s="330" t="s">
        <v>259</v>
      </c>
      <c r="Y26" s="334"/>
      <c r="Z26" s="334"/>
      <c r="AA26" s="335" t="s">
        <v>158</v>
      </c>
      <c r="AB26" s="335"/>
      <c r="AC26" s="336">
        <v>56718600</v>
      </c>
      <c r="AD26" s="337">
        <v>11890200</v>
      </c>
      <c r="AE26" s="337">
        <v>44828400</v>
      </c>
      <c r="AF26" s="221" t="s">
        <v>643</v>
      </c>
      <c r="AI26" s="336">
        <v>68787471</v>
      </c>
    </row>
    <row r="27" spans="1:35" s="315" customFormat="1" ht="25.5" customHeight="1" x14ac:dyDescent="0.25">
      <c r="B27" s="316" t="s">
        <v>155</v>
      </c>
      <c r="C27" s="317" t="s">
        <v>33</v>
      </c>
      <c r="D27" s="318"/>
      <c r="E27" s="318" t="str">
        <f>COUNTA(D28:D54)&amp;" HỒ SƠ"</f>
        <v>27 HỒ SƠ</v>
      </c>
      <c r="F27" s="319"/>
      <c r="G27" s="319"/>
      <c r="H27" s="319"/>
      <c r="I27" s="319"/>
      <c r="J27" s="319"/>
      <c r="K27" s="319"/>
      <c r="L27" s="319"/>
      <c r="M27" s="319"/>
      <c r="N27" s="319"/>
      <c r="O27" s="319"/>
      <c r="P27" s="319"/>
      <c r="Q27" s="319"/>
      <c r="R27" s="319"/>
      <c r="S27" s="338"/>
      <c r="T27" s="339"/>
      <c r="U27" s="319"/>
      <c r="V27" s="319"/>
      <c r="W27" s="322"/>
      <c r="X27" s="319"/>
      <c r="Y27" s="319"/>
      <c r="Z27" s="319"/>
      <c r="AA27" s="319"/>
      <c r="AB27" s="319"/>
      <c r="AC27" s="340">
        <f>SUM(AC28:AC66)</f>
        <v>5453430702</v>
      </c>
      <c r="AD27" s="341">
        <f>SUM(AD28:AD66)</f>
        <v>45007071</v>
      </c>
      <c r="AE27" s="341">
        <f>SUM(AE28:AE66)</f>
        <v>5408423631</v>
      </c>
      <c r="AF27" s="324"/>
      <c r="AI27" s="369">
        <f>AI24+AI25-AI26</f>
        <v>6112706904</v>
      </c>
    </row>
    <row r="28" spans="1:35" s="315" customFormat="1" ht="92.25" customHeight="1" x14ac:dyDescent="0.25">
      <c r="A28" s="326"/>
      <c r="B28" s="327">
        <v>1</v>
      </c>
      <c r="C28" s="328" t="s">
        <v>413</v>
      </c>
      <c r="D28" s="329">
        <v>22652</v>
      </c>
      <c r="E28" s="330"/>
      <c r="F28" s="331" t="s">
        <v>542</v>
      </c>
      <c r="G28" s="332" t="s">
        <v>543</v>
      </c>
      <c r="H28" s="329">
        <v>43101</v>
      </c>
      <c r="I28" s="330">
        <v>0.3</v>
      </c>
      <c r="J28" s="329">
        <v>40452</v>
      </c>
      <c r="K28" s="333" t="s">
        <v>396</v>
      </c>
      <c r="L28" s="329" t="s">
        <v>544</v>
      </c>
      <c r="M28" s="333" t="s">
        <v>545</v>
      </c>
      <c r="N28" s="329" t="s">
        <v>523</v>
      </c>
      <c r="O28" s="330"/>
      <c r="P28" s="330"/>
      <c r="Q28" s="332"/>
      <c r="R28" s="329"/>
      <c r="S28" s="342"/>
      <c r="T28" s="229">
        <v>7487359.9309999999</v>
      </c>
      <c r="U28" s="330" t="s">
        <v>546</v>
      </c>
      <c r="V28" s="330"/>
      <c r="W28" s="329">
        <v>43466</v>
      </c>
      <c r="X28" s="330" t="s">
        <v>547</v>
      </c>
      <c r="Y28" s="334" t="s">
        <v>158</v>
      </c>
      <c r="Z28" s="220"/>
      <c r="AA28" s="220"/>
      <c r="AB28" s="220"/>
      <c r="AC28" s="222">
        <v>176253592</v>
      </c>
      <c r="AD28" s="220"/>
      <c r="AE28" s="257">
        <f>AC28</f>
        <v>176253592</v>
      </c>
      <c r="AF28" s="221" t="s">
        <v>414</v>
      </c>
    </row>
    <row r="29" spans="1:35" s="315" customFormat="1" ht="64.5" customHeight="1" x14ac:dyDescent="0.25">
      <c r="A29" s="326"/>
      <c r="B29" s="327">
        <v>2</v>
      </c>
      <c r="C29" s="328" t="s">
        <v>463</v>
      </c>
      <c r="D29" s="329">
        <v>24356</v>
      </c>
      <c r="E29" s="330"/>
      <c r="F29" s="331" t="s">
        <v>548</v>
      </c>
      <c r="G29" s="332">
        <v>4.32</v>
      </c>
      <c r="H29" s="329">
        <v>43344</v>
      </c>
      <c r="I29" s="330">
        <v>0.2</v>
      </c>
      <c r="J29" s="329" t="s">
        <v>549</v>
      </c>
      <c r="K29" s="333" t="s">
        <v>407</v>
      </c>
      <c r="L29" s="329" t="s">
        <v>550</v>
      </c>
      <c r="M29" s="333"/>
      <c r="N29" s="329"/>
      <c r="O29" s="330"/>
      <c r="P29" s="330"/>
      <c r="Q29" s="332" t="s">
        <v>420</v>
      </c>
      <c r="R29" s="329" t="s">
        <v>422</v>
      </c>
      <c r="S29" s="342"/>
      <c r="T29" s="229">
        <v>5721528.3833333338</v>
      </c>
      <c r="U29" s="330" t="s">
        <v>551</v>
      </c>
      <c r="V29" s="330"/>
      <c r="W29" s="329">
        <v>43466</v>
      </c>
      <c r="X29" s="330" t="s">
        <v>552</v>
      </c>
      <c r="Y29" s="334" t="s">
        <v>158</v>
      </c>
      <c r="Z29" s="220"/>
      <c r="AA29" s="220"/>
      <c r="AB29" s="220"/>
      <c r="AC29" s="222">
        <v>118051518</v>
      </c>
      <c r="AD29" s="220"/>
      <c r="AE29" s="257">
        <f t="shared" ref="AE29:AE63" si="0">AC29</f>
        <v>118051518</v>
      </c>
      <c r="AF29" s="221" t="s">
        <v>450</v>
      </c>
    </row>
    <row r="30" spans="1:35" s="315" customFormat="1" ht="64.5" customHeight="1" x14ac:dyDescent="0.25">
      <c r="A30" s="326"/>
      <c r="B30" s="327">
        <v>3</v>
      </c>
      <c r="C30" s="328" t="s">
        <v>464</v>
      </c>
      <c r="D30" s="329">
        <v>23196</v>
      </c>
      <c r="E30" s="330"/>
      <c r="F30" s="331" t="s">
        <v>553</v>
      </c>
      <c r="G30" s="332" t="s">
        <v>554</v>
      </c>
      <c r="H30" s="329">
        <v>43191</v>
      </c>
      <c r="I30" s="330"/>
      <c r="J30" s="329"/>
      <c r="K30" s="333"/>
      <c r="L30" s="329"/>
      <c r="M30" s="333" t="s">
        <v>273</v>
      </c>
      <c r="N30" s="329" t="s">
        <v>555</v>
      </c>
      <c r="O30" s="330"/>
      <c r="P30" s="330"/>
      <c r="Q30" s="332"/>
      <c r="R30" s="329"/>
      <c r="S30" s="342"/>
      <c r="T30" s="229">
        <v>4767823.5</v>
      </c>
      <c r="U30" s="330" t="s">
        <v>556</v>
      </c>
      <c r="V30" s="330"/>
      <c r="W30" s="329">
        <v>43466</v>
      </c>
      <c r="X30" s="330" t="s">
        <v>557</v>
      </c>
      <c r="Y30" s="334" t="s">
        <v>158</v>
      </c>
      <c r="Z30" s="220"/>
      <c r="AA30" s="220"/>
      <c r="AB30" s="220"/>
      <c r="AC30" s="222">
        <v>122241383</v>
      </c>
      <c r="AD30" s="220"/>
      <c r="AE30" s="257">
        <f t="shared" si="0"/>
        <v>122241383</v>
      </c>
      <c r="AF30" s="221" t="s">
        <v>450</v>
      </c>
    </row>
    <row r="31" spans="1:35" s="315" customFormat="1" ht="154.5" customHeight="1" x14ac:dyDescent="0.25">
      <c r="A31" s="326"/>
      <c r="B31" s="327">
        <v>4</v>
      </c>
      <c r="C31" s="328" t="s">
        <v>453</v>
      </c>
      <c r="D31" s="329">
        <v>22751</v>
      </c>
      <c r="E31" s="330"/>
      <c r="F31" s="331" t="s">
        <v>558</v>
      </c>
      <c r="G31" s="332">
        <v>4.8899999999999997</v>
      </c>
      <c r="H31" s="329">
        <v>42736</v>
      </c>
      <c r="I31" s="330">
        <v>0.35</v>
      </c>
      <c r="J31" s="329" t="s">
        <v>559</v>
      </c>
      <c r="K31" s="333" t="s">
        <v>423</v>
      </c>
      <c r="L31" s="329" t="s">
        <v>560</v>
      </c>
      <c r="M31" s="333"/>
      <c r="N31" s="329"/>
      <c r="O31" s="330"/>
      <c r="P31" s="330"/>
      <c r="Q31" s="332">
        <v>4.58</v>
      </c>
      <c r="R31" s="329">
        <v>41640</v>
      </c>
      <c r="S31" s="342"/>
      <c r="T31" s="229">
        <v>7329066.5666666664</v>
      </c>
      <c r="U31" s="330" t="s">
        <v>561</v>
      </c>
      <c r="V31" s="330"/>
      <c r="W31" s="329">
        <v>43466</v>
      </c>
      <c r="X31" s="330" t="s">
        <v>562</v>
      </c>
      <c r="Y31" s="334" t="s">
        <v>158</v>
      </c>
      <c r="Z31" s="220"/>
      <c r="AA31" s="220"/>
      <c r="AB31" s="220"/>
      <c r="AC31" s="222">
        <v>114041420</v>
      </c>
      <c r="AD31" s="220"/>
      <c r="AE31" s="257">
        <f t="shared" si="0"/>
        <v>114041420</v>
      </c>
      <c r="AF31" s="221" t="s">
        <v>454</v>
      </c>
    </row>
    <row r="32" spans="1:35" s="315" customFormat="1" ht="118.5" customHeight="1" x14ac:dyDescent="0.25">
      <c r="A32" s="326"/>
      <c r="B32" s="327">
        <v>5</v>
      </c>
      <c r="C32" s="328" t="s">
        <v>455</v>
      </c>
      <c r="D32" s="329">
        <v>23407</v>
      </c>
      <c r="E32" s="330"/>
      <c r="F32" s="331" t="s">
        <v>563</v>
      </c>
      <c r="G32" s="332">
        <v>4.2699999999999996</v>
      </c>
      <c r="H32" s="329">
        <v>42370</v>
      </c>
      <c r="I32" s="330"/>
      <c r="J32" s="329"/>
      <c r="K32" s="333" t="s">
        <v>396</v>
      </c>
      <c r="L32" s="329" t="s">
        <v>564</v>
      </c>
      <c r="M32" s="333"/>
      <c r="N32" s="329"/>
      <c r="O32" s="330"/>
      <c r="P32" s="330"/>
      <c r="Q32" s="332">
        <v>3.96</v>
      </c>
      <c r="R32" s="329">
        <v>41275</v>
      </c>
      <c r="S32" s="342"/>
      <c r="T32" s="229">
        <v>6091668.9333333336</v>
      </c>
      <c r="U32" s="330" t="s">
        <v>565</v>
      </c>
      <c r="V32" s="330"/>
      <c r="W32" s="329">
        <v>43497</v>
      </c>
      <c r="X32" s="330" t="s">
        <v>257</v>
      </c>
      <c r="Y32" s="334" t="s">
        <v>158</v>
      </c>
      <c r="Z32" s="220"/>
      <c r="AA32" s="220"/>
      <c r="AB32" s="220"/>
      <c r="AC32" s="222">
        <v>113663550</v>
      </c>
      <c r="AD32" s="220"/>
      <c r="AE32" s="257">
        <f t="shared" si="0"/>
        <v>113663550</v>
      </c>
      <c r="AF32" s="221" t="s">
        <v>456</v>
      </c>
    </row>
    <row r="33" spans="1:32" s="315" customFormat="1" ht="118.5" customHeight="1" x14ac:dyDescent="0.25">
      <c r="A33" s="326"/>
      <c r="B33" s="327">
        <v>6</v>
      </c>
      <c r="C33" s="328" t="s">
        <v>457</v>
      </c>
      <c r="D33" s="329">
        <v>24313</v>
      </c>
      <c r="E33" s="330"/>
      <c r="F33" s="331" t="s">
        <v>566</v>
      </c>
      <c r="G33" s="332" t="s">
        <v>567</v>
      </c>
      <c r="H33" s="329">
        <v>42948</v>
      </c>
      <c r="I33" s="330"/>
      <c r="J33" s="329"/>
      <c r="K33" s="333" t="s">
        <v>417</v>
      </c>
      <c r="L33" s="329" t="s">
        <v>568</v>
      </c>
      <c r="M33" s="333"/>
      <c r="N33" s="329"/>
      <c r="O33" s="330"/>
      <c r="P33" s="330"/>
      <c r="Q33" s="332" t="s">
        <v>569</v>
      </c>
      <c r="R33" s="329" t="s">
        <v>570</v>
      </c>
      <c r="S33" s="342"/>
      <c r="T33" s="229">
        <v>7741325.7133333338</v>
      </c>
      <c r="U33" s="330" t="s">
        <v>490</v>
      </c>
      <c r="V33" s="330"/>
      <c r="W33" s="329">
        <v>43466</v>
      </c>
      <c r="X33" s="330" t="s">
        <v>571</v>
      </c>
      <c r="Y33" s="334" t="s">
        <v>158</v>
      </c>
      <c r="Z33" s="220"/>
      <c r="AA33" s="220"/>
      <c r="AB33" s="220"/>
      <c r="AC33" s="222">
        <v>175881581</v>
      </c>
      <c r="AD33" s="220"/>
      <c r="AE33" s="257">
        <f t="shared" si="0"/>
        <v>175881581</v>
      </c>
      <c r="AF33" s="221" t="s">
        <v>642</v>
      </c>
    </row>
    <row r="34" spans="1:32" s="315" customFormat="1" ht="102" customHeight="1" x14ac:dyDescent="0.25">
      <c r="A34" s="326"/>
      <c r="B34" s="327">
        <v>7</v>
      </c>
      <c r="C34" s="328" t="s">
        <v>458</v>
      </c>
      <c r="D34" s="329">
        <v>23372</v>
      </c>
      <c r="E34" s="330"/>
      <c r="F34" s="331" t="s">
        <v>572</v>
      </c>
      <c r="G34" s="332" t="s">
        <v>573</v>
      </c>
      <c r="H34" s="329">
        <v>43101</v>
      </c>
      <c r="I34" s="330"/>
      <c r="J34" s="329"/>
      <c r="K34" s="333"/>
      <c r="L34" s="329"/>
      <c r="M34" s="333" t="s">
        <v>474</v>
      </c>
      <c r="N34" s="329" t="s">
        <v>523</v>
      </c>
      <c r="O34" s="330"/>
      <c r="P34" s="330"/>
      <c r="Q34" s="332"/>
      <c r="R34" s="329"/>
      <c r="S34" s="342"/>
      <c r="T34" s="229">
        <v>4955494.5</v>
      </c>
      <c r="U34" s="330" t="s">
        <v>574</v>
      </c>
      <c r="V34" s="330"/>
      <c r="W34" s="329">
        <v>43466</v>
      </c>
      <c r="X34" s="330" t="s">
        <v>257</v>
      </c>
      <c r="Y34" s="334" t="s">
        <v>158</v>
      </c>
      <c r="Z34" s="220"/>
      <c r="AA34" s="220"/>
      <c r="AB34" s="220"/>
      <c r="AC34" s="222">
        <v>128922128</v>
      </c>
      <c r="AD34" s="220"/>
      <c r="AE34" s="257">
        <f t="shared" si="0"/>
        <v>128922128</v>
      </c>
      <c r="AF34" s="221" t="s">
        <v>459</v>
      </c>
    </row>
    <row r="35" spans="1:32" s="315" customFormat="1" ht="102" customHeight="1" x14ac:dyDescent="0.25">
      <c r="A35" s="326"/>
      <c r="B35" s="327">
        <v>8</v>
      </c>
      <c r="C35" s="328" t="s">
        <v>460</v>
      </c>
      <c r="D35" s="329">
        <v>22905</v>
      </c>
      <c r="E35" s="330"/>
      <c r="F35" s="331" t="s">
        <v>575</v>
      </c>
      <c r="G35" s="332">
        <v>3.99</v>
      </c>
      <c r="H35" s="329">
        <v>42887</v>
      </c>
      <c r="I35" s="330"/>
      <c r="J35" s="329"/>
      <c r="K35" s="333"/>
      <c r="L35" s="329"/>
      <c r="M35" s="333"/>
      <c r="N35" s="329"/>
      <c r="O35" s="330"/>
      <c r="P35" s="330"/>
      <c r="Q35" s="332">
        <v>3.66</v>
      </c>
      <c r="R35" s="329">
        <v>41518</v>
      </c>
      <c r="S35" s="342"/>
      <c r="T35" s="229">
        <v>4596205</v>
      </c>
      <c r="U35" s="330" t="s">
        <v>528</v>
      </c>
      <c r="V35" s="330" t="s">
        <v>528</v>
      </c>
      <c r="W35" s="329">
        <v>43466</v>
      </c>
      <c r="X35" s="330" t="s">
        <v>369</v>
      </c>
      <c r="Y35" s="334" t="s">
        <v>158</v>
      </c>
      <c r="Z35" s="220"/>
      <c r="AA35" s="220"/>
      <c r="AB35" s="220"/>
      <c r="AC35" s="222">
        <v>167059628</v>
      </c>
      <c r="AD35" s="220"/>
      <c r="AE35" s="257">
        <f t="shared" si="0"/>
        <v>167059628</v>
      </c>
      <c r="AF35" s="221" t="s">
        <v>459</v>
      </c>
    </row>
    <row r="36" spans="1:32" s="315" customFormat="1" ht="102" customHeight="1" x14ac:dyDescent="0.25">
      <c r="A36" s="326"/>
      <c r="B36" s="327">
        <v>9</v>
      </c>
      <c r="C36" s="328" t="s">
        <v>501</v>
      </c>
      <c r="D36" s="329">
        <v>22313</v>
      </c>
      <c r="E36" s="330"/>
      <c r="F36" s="331" t="s">
        <v>483</v>
      </c>
      <c r="G36" s="332">
        <v>3.66</v>
      </c>
      <c r="H36" s="329">
        <v>42705</v>
      </c>
      <c r="I36" s="330"/>
      <c r="J36" s="329"/>
      <c r="K36" s="333" t="s">
        <v>576</v>
      </c>
      <c r="L36" s="329" t="s">
        <v>577</v>
      </c>
      <c r="M36" s="333"/>
      <c r="N36" s="329"/>
      <c r="O36" s="330"/>
      <c r="P36" s="330"/>
      <c r="Q36" s="332" t="s">
        <v>578</v>
      </c>
      <c r="R36" s="329" t="s">
        <v>579</v>
      </c>
      <c r="S36" s="342"/>
      <c r="T36" s="229">
        <v>5484434.4666666668</v>
      </c>
      <c r="U36" s="330" t="s">
        <v>580</v>
      </c>
      <c r="V36" s="330" t="s">
        <v>461</v>
      </c>
      <c r="W36" s="329">
        <v>43466</v>
      </c>
      <c r="X36" s="330" t="s">
        <v>255</v>
      </c>
      <c r="Y36" s="334" t="s">
        <v>158</v>
      </c>
      <c r="Z36" s="220"/>
      <c r="AA36" s="220"/>
      <c r="AB36" s="220"/>
      <c r="AC36" s="222">
        <v>120420920</v>
      </c>
      <c r="AD36" s="220"/>
      <c r="AE36" s="257">
        <f t="shared" si="0"/>
        <v>120420920</v>
      </c>
      <c r="AF36" s="221" t="s">
        <v>459</v>
      </c>
    </row>
    <row r="37" spans="1:32" s="315" customFormat="1" ht="99.75" customHeight="1" x14ac:dyDescent="0.25">
      <c r="A37" s="326"/>
      <c r="B37" s="327">
        <v>10</v>
      </c>
      <c r="C37" s="328" t="s">
        <v>484</v>
      </c>
      <c r="D37" s="329">
        <v>24303</v>
      </c>
      <c r="E37" s="330"/>
      <c r="F37" s="331" t="s">
        <v>581</v>
      </c>
      <c r="G37" s="332">
        <v>3.96</v>
      </c>
      <c r="H37" s="329">
        <v>42370</v>
      </c>
      <c r="I37" s="330"/>
      <c r="J37" s="329"/>
      <c r="K37" s="333" t="s">
        <v>335</v>
      </c>
      <c r="L37" s="329" t="s">
        <v>582</v>
      </c>
      <c r="M37" s="333"/>
      <c r="N37" s="329"/>
      <c r="O37" s="330"/>
      <c r="P37" s="330"/>
      <c r="Q37" s="332">
        <v>3.65</v>
      </c>
      <c r="R37" s="329">
        <v>41275</v>
      </c>
      <c r="S37" s="342"/>
      <c r="T37" s="229">
        <v>5485657.833333333</v>
      </c>
      <c r="U37" s="330" t="s">
        <v>583</v>
      </c>
      <c r="V37" s="330" t="s">
        <v>583</v>
      </c>
      <c r="W37" s="329">
        <v>43586</v>
      </c>
      <c r="X37" s="330" t="s">
        <v>584</v>
      </c>
      <c r="Y37" s="334" t="s">
        <v>158</v>
      </c>
      <c r="Z37" s="220"/>
      <c r="AA37" s="220"/>
      <c r="AB37" s="220"/>
      <c r="AC37" s="222">
        <v>139383333</v>
      </c>
      <c r="AD37" s="220"/>
      <c r="AE37" s="257">
        <f t="shared" si="0"/>
        <v>139383333</v>
      </c>
      <c r="AF37" s="221" t="s">
        <v>497</v>
      </c>
    </row>
    <row r="38" spans="1:32" s="315" customFormat="1" ht="99.75" customHeight="1" x14ac:dyDescent="0.25">
      <c r="A38" s="326"/>
      <c r="B38" s="327">
        <v>11</v>
      </c>
      <c r="C38" s="328" t="s">
        <v>416</v>
      </c>
      <c r="D38" s="329">
        <v>23172</v>
      </c>
      <c r="E38" s="330"/>
      <c r="F38" s="331" t="s">
        <v>585</v>
      </c>
      <c r="G38" s="332" t="s">
        <v>521</v>
      </c>
      <c r="H38" s="329">
        <v>43282</v>
      </c>
      <c r="I38" s="330">
        <v>0.6</v>
      </c>
      <c r="J38" s="329" t="s">
        <v>586</v>
      </c>
      <c r="K38" s="333"/>
      <c r="L38" s="329"/>
      <c r="M38" s="333" t="s">
        <v>406</v>
      </c>
      <c r="N38" s="329" t="s">
        <v>587</v>
      </c>
      <c r="O38" s="330"/>
      <c r="P38" s="330"/>
      <c r="Q38" s="332"/>
      <c r="R38" s="329"/>
      <c r="S38" s="342"/>
      <c r="T38" s="229">
        <v>7720216</v>
      </c>
      <c r="U38" s="330" t="s">
        <v>350</v>
      </c>
      <c r="V38" s="330"/>
      <c r="W38" s="329">
        <v>43525</v>
      </c>
      <c r="X38" s="330" t="s">
        <v>247</v>
      </c>
      <c r="Y38" s="334" t="s">
        <v>158</v>
      </c>
      <c r="Z38" s="220"/>
      <c r="AA38" s="220"/>
      <c r="AB38" s="220"/>
      <c r="AC38" s="222">
        <v>178935256</v>
      </c>
      <c r="AD38" s="220"/>
      <c r="AE38" s="257">
        <f t="shared" si="0"/>
        <v>178935256</v>
      </c>
      <c r="AF38" s="221" t="s">
        <v>494</v>
      </c>
    </row>
    <row r="39" spans="1:32" s="315" customFormat="1" ht="99.75" customHeight="1" x14ac:dyDescent="0.25">
      <c r="A39" s="326"/>
      <c r="B39" s="327">
        <v>12</v>
      </c>
      <c r="C39" s="328" t="s">
        <v>476</v>
      </c>
      <c r="D39" s="329">
        <v>23487</v>
      </c>
      <c r="E39" s="330"/>
      <c r="F39" s="331" t="s">
        <v>588</v>
      </c>
      <c r="G39" s="332">
        <v>4.6500000000000004</v>
      </c>
      <c r="H39" s="329">
        <v>43221</v>
      </c>
      <c r="I39" s="330">
        <v>0.4</v>
      </c>
      <c r="J39" s="329" t="s">
        <v>586</v>
      </c>
      <c r="K39" s="333"/>
      <c r="L39" s="329"/>
      <c r="M39" s="333"/>
      <c r="N39" s="329"/>
      <c r="O39" s="330"/>
      <c r="P39" s="330"/>
      <c r="Q39" s="332" t="s">
        <v>535</v>
      </c>
      <c r="R39" s="329" t="s">
        <v>589</v>
      </c>
      <c r="S39" s="342"/>
      <c r="T39" s="229">
        <v>5896255</v>
      </c>
      <c r="U39" s="330" t="s">
        <v>590</v>
      </c>
      <c r="V39" s="330"/>
      <c r="W39" s="329">
        <v>43586</v>
      </c>
      <c r="X39" s="330" t="s">
        <v>257</v>
      </c>
      <c r="Y39" s="334" t="s">
        <v>158</v>
      </c>
      <c r="Z39" s="220"/>
      <c r="AA39" s="220"/>
      <c r="AB39" s="220"/>
      <c r="AC39" s="222">
        <v>119353861</v>
      </c>
      <c r="AD39" s="220"/>
      <c r="AE39" s="257">
        <f t="shared" si="0"/>
        <v>119353861</v>
      </c>
      <c r="AF39" s="221" t="s">
        <v>428</v>
      </c>
    </row>
    <row r="40" spans="1:32" s="315" customFormat="1" ht="99.75" customHeight="1" x14ac:dyDescent="0.25">
      <c r="A40" s="326"/>
      <c r="B40" s="327">
        <v>13</v>
      </c>
      <c r="C40" s="328" t="s">
        <v>418</v>
      </c>
      <c r="D40" s="329">
        <v>25333</v>
      </c>
      <c r="E40" s="330"/>
      <c r="F40" s="331" t="s">
        <v>591</v>
      </c>
      <c r="G40" s="332" t="s">
        <v>592</v>
      </c>
      <c r="H40" s="329">
        <v>43405</v>
      </c>
      <c r="I40" s="330"/>
      <c r="J40" s="329"/>
      <c r="K40" s="333"/>
      <c r="L40" s="329"/>
      <c r="M40" s="333" t="s">
        <v>393</v>
      </c>
      <c r="N40" s="329" t="s">
        <v>593</v>
      </c>
      <c r="O40" s="330"/>
      <c r="P40" s="330"/>
      <c r="Q40" s="332">
        <v>4.0599999999999996</v>
      </c>
      <c r="R40" s="329">
        <v>41760</v>
      </c>
      <c r="S40" s="342"/>
      <c r="T40" s="229">
        <v>5217228.5666666664</v>
      </c>
      <c r="U40" s="330" t="s">
        <v>405</v>
      </c>
      <c r="V40" s="330"/>
      <c r="W40" s="329">
        <v>43617</v>
      </c>
      <c r="X40" s="330" t="s">
        <v>594</v>
      </c>
      <c r="Y40" s="334" t="s">
        <v>158</v>
      </c>
      <c r="Z40" s="220"/>
      <c r="AA40" s="220"/>
      <c r="AB40" s="220"/>
      <c r="AC40" s="222">
        <v>123398831</v>
      </c>
      <c r="AD40" s="220"/>
      <c r="AE40" s="257">
        <f t="shared" si="0"/>
        <v>123398831</v>
      </c>
      <c r="AF40" s="221" t="s">
        <v>494</v>
      </c>
    </row>
    <row r="41" spans="1:32" s="315" customFormat="1" ht="99.75" customHeight="1" x14ac:dyDescent="0.25">
      <c r="A41" s="326"/>
      <c r="B41" s="327">
        <v>14</v>
      </c>
      <c r="C41" s="328" t="s">
        <v>419</v>
      </c>
      <c r="D41" s="329">
        <v>24816</v>
      </c>
      <c r="E41" s="330"/>
      <c r="F41" s="331" t="s">
        <v>595</v>
      </c>
      <c r="G41" s="332">
        <v>4.6500000000000004</v>
      </c>
      <c r="H41" s="329">
        <v>43040</v>
      </c>
      <c r="I41" s="330"/>
      <c r="J41" s="329"/>
      <c r="K41" s="333" t="s">
        <v>596</v>
      </c>
      <c r="L41" s="329" t="s">
        <v>597</v>
      </c>
      <c r="M41" s="333"/>
      <c r="N41" s="329"/>
      <c r="O41" s="330"/>
      <c r="P41" s="330"/>
      <c r="Q41" s="332">
        <v>4.32</v>
      </c>
      <c r="R41" s="329">
        <v>41944</v>
      </c>
      <c r="S41" s="342"/>
      <c r="T41" s="229">
        <v>6694514.7000000002</v>
      </c>
      <c r="U41" s="330" t="s">
        <v>532</v>
      </c>
      <c r="V41" s="330"/>
      <c r="W41" s="329">
        <v>43466</v>
      </c>
      <c r="X41" s="330" t="s">
        <v>598</v>
      </c>
      <c r="Y41" s="334" t="s">
        <v>158</v>
      </c>
      <c r="Z41" s="220"/>
      <c r="AA41" s="220"/>
      <c r="AB41" s="220"/>
      <c r="AC41" s="222">
        <v>116115797</v>
      </c>
      <c r="AD41" s="220"/>
      <c r="AE41" s="257">
        <f t="shared" si="0"/>
        <v>116115797</v>
      </c>
      <c r="AF41" s="221" t="s">
        <v>494</v>
      </c>
    </row>
    <row r="42" spans="1:32" s="315" customFormat="1" ht="99.75" customHeight="1" x14ac:dyDescent="0.25">
      <c r="A42" s="326"/>
      <c r="B42" s="327">
        <v>15</v>
      </c>
      <c r="C42" s="328" t="s">
        <v>421</v>
      </c>
      <c r="D42" s="329">
        <v>22889</v>
      </c>
      <c r="E42" s="330"/>
      <c r="F42" s="331" t="s">
        <v>599</v>
      </c>
      <c r="G42" s="332">
        <v>3.96</v>
      </c>
      <c r="H42" s="329">
        <v>42705</v>
      </c>
      <c r="I42" s="330"/>
      <c r="J42" s="329"/>
      <c r="K42" s="333" t="s">
        <v>600</v>
      </c>
      <c r="L42" s="329" t="s">
        <v>601</v>
      </c>
      <c r="M42" s="333"/>
      <c r="N42" s="329"/>
      <c r="O42" s="330"/>
      <c r="P42" s="330"/>
      <c r="Q42" s="332" t="s">
        <v>602</v>
      </c>
      <c r="R42" s="329" t="s">
        <v>603</v>
      </c>
      <c r="S42" s="342"/>
      <c r="T42" s="229">
        <v>4605188.083333333</v>
      </c>
      <c r="U42" s="330" t="s">
        <v>604</v>
      </c>
      <c r="V42" s="330"/>
      <c r="W42" s="329">
        <v>43466</v>
      </c>
      <c r="X42" s="330" t="s">
        <v>541</v>
      </c>
      <c r="Y42" s="334" t="s">
        <v>158</v>
      </c>
      <c r="Z42" s="220"/>
      <c r="AA42" s="220"/>
      <c r="AB42" s="220"/>
      <c r="AC42" s="222">
        <v>137980217</v>
      </c>
      <c r="AD42" s="220"/>
      <c r="AE42" s="257">
        <f t="shared" si="0"/>
        <v>137980217</v>
      </c>
      <c r="AF42" s="221" t="s">
        <v>494</v>
      </c>
    </row>
    <row r="43" spans="1:32" s="315" customFormat="1" ht="99.75" customHeight="1" x14ac:dyDescent="0.25">
      <c r="A43" s="326"/>
      <c r="B43" s="327">
        <v>16</v>
      </c>
      <c r="C43" s="328" t="s">
        <v>424</v>
      </c>
      <c r="D43" s="329">
        <v>23505</v>
      </c>
      <c r="E43" s="330"/>
      <c r="F43" s="331" t="s">
        <v>605</v>
      </c>
      <c r="G43" s="332" t="s">
        <v>606</v>
      </c>
      <c r="H43" s="329">
        <v>43313</v>
      </c>
      <c r="I43" s="330"/>
      <c r="J43" s="329"/>
      <c r="K43" s="333"/>
      <c r="L43" s="329"/>
      <c r="M43" s="333" t="s">
        <v>398</v>
      </c>
      <c r="N43" s="329" t="s">
        <v>607</v>
      </c>
      <c r="O43" s="330"/>
      <c r="P43" s="330"/>
      <c r="Q43" s="332"/>
      <c r="R43" s="329"/>
      <c r="S43" s="342"/>
      <c r="T43" s="229">
        <v>5575794.2333333334</v>
      </c>
      <c r="U43" s="330" t="s">
        <v>608</v>
      </c>
      <c r="V43" s="330"/>
      <c r="W43" s="329">
        <v>43617</v>
      </c>
      <c r="X43" s="330" t="s">
        <v>257</v>
      </c>
      <c r="Y43" s="334" t="s">
        <v>158</v>
      </c>
      <c r="Z43" s="220"/>
      <c r="AA43" s="220"/>
      <c r="AB43" s="220"/>
      <c r="AC43" s="222">
        <v>137962175</v>
      </c>
      <c r="AD43" s="220"/>
      <c r="AE43" s="257">
        <f t="shared" si="0"/>
        <v>137962175</v>
      </c>
      <c r="AF43" s="221" t="s">
        <v>494</v>
      </c>
    </row>
    <row r="44" spans="1:32" s="315" customFormat="1" ht="99.75" customHeight="1" x14ac:dyDescent="0.25">
      <c r="A44" s="326"/>
      <c r="B44" s="327">
        <v>17</v>
      </c>
      <c r="C44" s="328" t="s">
        <v>425</v>
      </c>
      <c r="D44" s="329">
        <v>22402</v>
      </c>
      <c r="E44" s="330"/>
      <c r="F44" s="331" t="s">
        <v>609</v>
      </c>
      <c r="G44" s="332">
        <v>4.9800000000000004</v>
      </c>
      <c r="H44" s="329">
        <v>42736</v>
      </c>
      <c r="I44" s="330" t="s">
        <v>610</v>
      </c>
      <c r="J44" s="329" t="s">
        <v>611</v>
      </c>
      <c r="K44" s="333"/>
      <c r="L44" s="329"/>
      <c r="M44" s="333"/>
      <c r="N44" s="329"/>
      <c r="O44" s="330"/>
      <c r="P44" s="330"/>
      <c r="Q44" s="332">
        <v>4.6500000000000004</v>
      </c>
      <c r="R44" s="329">
        <v>41640</v>
      </c>
      <c r="S44" s="342"/>
      <c r="T44" s="229">
        <v>6150866.666666667</v>
      </c>
      <c r="U44" s="330" t="s">
        <v>206</v>
      </c>
      <c r="V44" s="330"/>
      <c r="W44" s="329">
        <v>43466</v>
      </c>
      <c r="X44" s="330" t="s">
        <v>612</v>
      </c>
      <c r="Y44" s="334" t="s">
        <v>158</v>
      </c>
      <c r="Z44" s="220"/>
      <c r="AA44" s="220"/>
      <c r="AB44" s="220"/>
      <c r="AC44" s="222">
        <v>181060441</v>
      </c>
      <c r="AD44" s="220"/>
      <c r="AE44" s="257">
        <f t="shared" si="0"/>
        <v>181060441</v>
      </c>
      <c r="AF44" s="221" t="s">
        <v>494</v>
      </c>
    </row>
    <row r="45" spans="1:32" s="315" customFormat="1" ht="99.75" customHeight="1" x14ac:dyDescent="0.25">
      <c r="A45" s="326"/>
      <c r="B45" s="327">
        <v>18</v>
      </c>
      <c r="C45" s="328" t="s">
        <v>427</v>
      </c>
      <c r="D45" s="329">
        <v>22328</v>
      </c>
      <c r="E45" s="330"/>
      <c r="F45" s="331" t="s">
        <v>613</v>
      </c>
      <c r="G45" s="332">
        <v>3.86</v>
      </c>
      <c r="H45" s="329">
        <v>42917</v>
      </c>
      <c r="I45" s="330"/>
      <c r="J45" s="329"/>
      <c r="K45" s="333"/>
      <c r="L45" s="329"/>
      <c r="M45" s="333"/>
      <c r="N45" s="329"/>
      <c r="O45" s="330"/>
      <c r="P45" s="330"/>
      <c r="Q45" s="332" t="s">
        <v>395</v>
      </c>
      <c r="R45" s="329" t="s">
        <v>614</v>
      </c>
      <c r="S45" s="342"/>
      <c r="T45" s="229">
        <v>4468680</v>
      </c>
      <c r="U45" s="330" t="s">
        <v>615</v>
      </c>
      <c r="V45" s="330"/>
      <c r="W45" s="329">
        <v>43466</v>
      </c>
      <c r="X45" s="330" t="s">
        <v>255</v>
      </c>
      <c r="Y45" s="334" t="s">
        <v>158</v>
      </c>
      <c r="Z45" s="220"/>
      <c r="AA45" s="220"/>
      <c r="AB45" s="220"/>
      <c r="AC45" s="222">
        <v>65118113</v>
      </c>
      <c r="AD45" s="220"/>
      <c r="AE45" s="257">
        <f t="shared" si="0"/>
        <v>65118113</v>
      </c>
      <c r="AF45" s="221" t="s">
        <v>428</v>
      </c>
    </row>
    <row r="46" spans="1:32" s="315" customFormat="1" ht="99.75" customHeight="1" x14ac:dyDescent="0.25">
      <c r="A46" s="326"/>
      <c r="B46" s="327">
        <v>19</v>
      </c>
      <c r="C46" s="328" t="s">
        <v>429</v>
      </c>
      <c r="D46" s="329">
        <v>22762</v>
      </c>
      <c r="E46" s="330"/>
      <c r="F46" s="331" t="s">
        <v>613</v>
      </c>
      <c r="G46" s="332" t="s">
        <v>616</v>
      </c>
      <c r="H46" s="329">
        <v>43101</v>
      </c>
      <c r="I46" s="330"/>
      <c r="J46" s="329"/>
      <c r="K46" s="333"/>
      <c r="L46" s="329"/>
      <c r="M46" s="333" t="s">
        <v>617</v>
      </c>
      <c r="N46" s="329" t="s">
        <v>523</v>
      </c>
      <c r="O46" s="330"/>
      <c r="P46" s="330"/>
      <c r="Q46" s="332"/>
      <c r="R46" s="329"/>
      <c r="S46" s="342"/>
      <c r="T46" s="229">
        <v>5452469.0999999996</v>
      </c>
      <c r="U46" s="330" t="s">
        <v>403</v>
      </c>
      <c r="V46" s="330"/>
      <c r="W46" s="329">
        <v>43466</v>
      </c>
      <c r="X46" s="330" t="s">
        <v>562</v>
      </c>
      <c r="Y46" s="334" t="s">
        <v>158</v>
      </c>
      <c r="Z46" s="220"/>
      <c r="AA46" s="220"/>
      <c r="AB46" s="220"/>
      <c r="AC46" s="222">
        <v>144215735</v>
      </c>
      <c r="AD46" s="220"/>
      <c r="AE46" s="257">
        <f t="shared" si="0"/>
        <v>144215735</v>
      </c>
      <c r="AF46" s="221" t="s">
        <v>494</v>
      </c>
    </row>
    <row r="47" spans="1:32" s="315" customFormat="1" ht="99.75" customHeight="1" x14ac:dyDescent="0.25">
      <c r="A47" s="326"/>
      <c r="B47" s="327">
        <v>20</v>
      </c>
      <c r="C47" s="328" t="s">
        <v>430</v>
      </c>
      <c r="D47" s="329">
        <v>22798</v>
      </c>
      <c r="E47" s="330"/>
      <c r="F47" s="331" t="s">
        <v>618</v>
      </c>
      <c r="G47" s="332">
        <v>3.96</v>
      </c>
      <c r="H47" s="329">
        <v>42705</v>
      </c>
      <c r="I47" s="330"/>
      <c r="J47" s="329"/>
      <c r="K47" s="333" t="s">
        <v>407</v>
      </c>
      <c r="L47" s="329" t="s">
        <v>619</v>
      </c>
      <c r="M47" s="333"/>
      <c r="N47" s="329"/>
      <c r="O47" s="330"/>
      <c r="P47" s="330"/>
      <c r="Q47" s="332">
        <v>3.65</v>
      </c>
      <c r="R47" s="329">
        <v>41609</v>
      </c>
      <c r="S47" s="342"/>
      <c r="T47" s="229">
        <v>5442067.666666667</v>
      </c>
      <c r="U47" s="330" t="s">
        <v>391</v>
      </c>
      <c r="V47" s="330"/>
      <c r="W47" s="329">
        <v>43466</v>
      </c>
      <c r="X47" s="330" t="s">
        <v>620</v>
      </c>
      <c r="Y47" s="334" t="s">
        <v>158</v>
      </c>
      <c r="Z47" s="220"/>
      <c r="AA47" s="220"/>
      <c r="AB47" s="220"/>
      <c r="AC47" s="222">
        <v>190201304</v>
      </c>
      <c r="AD47" s="220"/>
      <c r="AE47" s="257">
        <f t="shared" si="0"/>
        <v>190201304</v>
      </c>
      <c r="AF47" s="221" t="s">
        <v>428</v>
      </c>
    </row>
    <row r="48" spans="1:32" s="315" customFormat="1" ht="148.5" customHeight="1" x14ac:dyDescent="0.25">
      <c r="A48" s="326"/>
      <c r="B48" s="327">
        <v>21</v>
      </c>
      <c r="C48" s="328" t="s">
        <v>431</v>
      </c>
      <c r="D48" s="329">
        <v>22252</v>
      </c>
      <c r="E48" s="330"/>
      <c r="F48" s="331" t="s">
        <v>621</v>
      </c>
      <c r="G48" s="332" t="s">
        <v>622</v>
      </c>
      <c r="H48" s="329">
        <v>43221</v>
      </c>
      <c r="I48" s="330">
        <v>0.3</v>
      </c>
      <c r="J48" s="329">
        <v>38261</v>
      </c>
      <c r="K48" s="333"/>
      <c r="L48" s="329"/>
      <c r="M48" s="333">
        <v>0.05</v>
      </c>
      <c r="N48" s="329">
        <v>42856</v>
      </c>
      <c r="O48" s="330"/>
      <c r="P48" s="330"/>
      <c r="Q48" s="332" t="s">
        <v>623</v>
      </c>
      <c r="R48" s="329" t="s">
        <v>624</v>
      </c>
      <c r="S48" s="342"/>
      <c r="T48" s="229">
        <v>6524214.2000000002</v>
      </c>
      <c r="U48" s="330" t="s">
        <v>172</v>
      </c>
      <c r="V48" s="330"/>
      <c r="W48" s="329">
        <v>43466</v>
      </c>
      <c r="X48" s="330" t="s">
        <v>248</v>
      </c>
      <c r="Y48" s="334" t="s">
        <v>158</v>
      </c>
      <c r="Z48" s="220"/>
      <c r="AA48" s="220"/>
      <c r="AB48" s="220"/>
      <c r="AC48" s="222">
        <v>175569291</v>
      </c>
      <c r="AD48" s="220"/>
      <c r="AE48" s="257">
        <f t="shared" si="0"/>
        <v>175569291</v>
      </c>
      <c r="AF48" s="221" t="s">
        <v>446</v>
      </c>
    </row>
    <row r="49" spans="1:32" s="315" customFormat="1" ht="138" customHeight="1" x14ac:dyDescent="0.25">
      <c r="A49" s="326"/>
      <c r="B49" s="327">
        <v>22</v>
      </c>
      <c r="C49" s="328" t="s">
        <v>432</v>
      </c>
      <c r="D49" s="329">
        <v>22487</v>
      </c>
      <c r="E49" s="330"/>
      <c r="F49" s="331" t="s">
        <v>625</v>
      </c>
      <c r="G49" s="332" t="s">
        <v>626</v>
      </c>
      <c r="H49" s="329">
        <v>43101</v>
      </c>
      <c r="I49" s="330"/>
      <c r="J49" s="329"/>
      <c r="K49" s="333"/>
      <c r="L49" s="329"/>
      <c r="M49" s="333" t="s">
        <v>627</v>
      </c>
      <c r="N49" s="329" t="s">
        <v>523</v>
      </c>
      <c r="O49" s="330"/>
      <c r="P49" s="330"/>
      <c r="Q49" s="332"/>
      <c r="R49" s="329"/>
      <c r="S49" s="342"/>
      <c r="T49" s="229">
        <v>5176561.5</v>
      </c>
      <c r="U49" s="330" t="s">
        <v>397</v>
      </c>
      <c r="V49" s="330"/>
      <c r="W49" s="329">
        <v>43466</v>
      </c>
      <c r="X49" s="330" t="s">
        <v>511</v>
      </c>
      <c r="Y49" s="334" t="s">
        <v>158</v>
      </c>
      <c r="Z49" s="220"/>
      <c r="AA49" s="220"/>
      <c r="AB49" s="220"/>
      <c r="AC49" s="222">
        <v>147183515</v>
      </c>
      <c r="AD49" s="220"/>
      <c r="AE49" s="257">
        <f t="shared" si="0"/>
        <v>147183515</v>
      </c>
      <c r="AF49" s="221" t="s">
        <v>446</v>
      </c>
    </row>
    <row r="50" spans="1:32" s="315" customFormat="1" ht="99.75" customHeight="1" x14ac:dyDescent="0.25">
      <c r="A50" s="326"/>
      <c r="B50" s="327">
        <v>23</v>
      </c>
      <c r="C50" s="328" t="s">
        <v>433</v>
      </c>
      <c r="D50" s="329">
        <v>24550</v>
      </c>
      <c r="E50" s="330"/>
      <c r="F50" s="331" t="s">
        <v>628</v>
      </c>
      <c r="G50" s="332" t="s">
        <v>449</v>
      </c>
      <c r="H50" s="329">
        <v>43101</v>
      </c>
      <c r="I50" s="330"/>
      <c r="J50" s="329"/>
      <c r="K50" s="333"/>
      <c r="L50" s="329"/>
      <c r="M50" s="333" t="s">
        <v>401</v>
      </c>
      <c r="N50" s="329" t="s">
        <v>629</v>
      </c>
      <c r="O50" s="330"/>
      <c r="P50" s="330"/>
      <c r="Q50" s="332">
        <v>4.0599999999999996</v>
      </c>
      <c r="R50" s="329">
        <v>41275</v>
      </c>
      <c r="S50" s="342"/>
      <c r="T50" s="229">
        <v>5274467.8</v>
      </c>
      <c r="U50" s="330" t="s">
        <v>399</v>
      </c>
      <c r="V50" s="330"/>
      <c r="W50" s="329">
        <v>43556</v>
      </c>
      <c r="X50" s="330" t="s">
        <v>630</v>
      </c>
      <c r="Y50" s="334" t="s">
        <v>158</v>
      </c>
      <c r="Z50" s="220"/>
      <c r="AA50" s="220"/>
      <c r="AB50" s="220"/>
      <c r="AC50" s="222">
        <v>115113100</v>
      </c>
      <c r="AD50" s="220"/>
      <c r="AE50" s="257">
        <f t="shared" si="0"/>
        <v>115113100</v>
      </c>
      <c r="AF50" s="221" t="s">
        <v>443</v>
      </c>
    </row>
    <row r="51" spans="1:32" s="315" customFormat="1" ht="99.75" customHeight="1" x14ac:dyDescent="0.25">
      <c r="A51" s="326"/>
      <c r="B51" s="327">
        <v>24</v>
      </c>
      <c r="C51" s="328" t="s">
        <v>434</v>
      </c>
      <c r="D51" s="329">
        <v>22881</v>
      </c>
      <c r="E51" s="330"/>
      <c r="F51" s="331" t="s">
        <v>631</v>
      </c>
      <c r="G51" s="332" t="s">
        <v>632</v>
      </c>
      <c r="H51" s="329">
        <v>43282</v>
      </c>
      <c r="I51" s="330"/>
      <c r="J51" s="329"/>
      <c r="K51" s="333"/>
      <c r="L51" s="329"/>
      <c r="M51" s="333" t="s">
        <v>633</v>
      </c>
      <c r="N51" s="329" t="s">
        <v>523</v>
      </c>
      <c r="O51" s="330"/>
      <c r="P51" s="330"/>
      <c r="Q51" s="332"/>
      <c r="R51" s="329"/>
      <c r="S51" s="342"/>
      <c r="T51" s="229">
        <v>5735034.2000000002</v>
      </c>
      <c r="U51" s="330" t="s">
        <v>426</v>
      </c>
      <c r="V51" s="330"/>
      <c r="W51" s="329">
        <v>43466</v>
      </c>
      <c r="X51" s="330" t="s">
        <v>541</v>
      </c>
      <c r="Y51" s="334" t="s">
        <v>158</v>
      </c>
      <c r="Z51" s="220"/>
      <c r="AA51" s="220"/>
      <c r="AB51" s="220"/>
      <c r="AC51" s="222">
        <v>179971072</v>
      </c>
      <c r="AD51" s="220"/>
      <c r="AE51" s="257">
        <f t="shared" si="0"/>
        <v>179971072</v>
      </c>
      <c r="AF51" s="221" t="s">
        <v>494</v>
      </c>
    </row>
    <row r="52" spans="1:32" s="315" customFormat="1" ht="99.75" customHeight="1" x14ac:dyDescent="0.25">
      <c r="A52" s="326"/>
      <c r="B52" s="327">
        <v>25</v>
      </c>
      <c r="C52" s="328" t="s">
        <v>442</v>
      </c>
      <c r="D52" s="329">
        <v>22558</v>
      </c>
      <c r="E52" s="330"/>
      <c r="F52" s="331" t="s">
        <v>631</v>
      </c>
      <c r="G52" s="332" t="s">
        <v>634</v>
      </c>
      <c r="H52" s="329">
        <v>43282</v>
      </c>
      <c r="I52" s="330"/>
      <c r="J52" s="329"/>
      <c r="K52" s="333"/>
      <c r="L52" s="329"/>
      <c r="M52" s="333" t="s">
        <v>269</v>
      </c>
      <c r="N52" s="329" t="s">
        <v>523</v>
      </c>
      <c r="O52" s="330"/>
      <c r="P52" s="330"/>
      <c r="Q52" s="332"/>
      <c r="R52" s="329"/>
      <c r="S52" s="342"/>
      <c r="T52" s="229">
        <v>6488691</v>
      </c>
      <c r="U52" s="330" t="s">
        <v>635</v>
      </c>
      <c r="V52" s="330"/>
      <c r="W52" s="329">
        <v>43466</v>
      </c>
      <c r="X52" s="330" t="s">
        <v>636</v>
      </c>
      <c r="Y52" s="334" t="s">
        <v>158</v>
      </c>
      <c r="Z52" s="220"/>
      <c r="AA52" s="220"/>
      <c r="AB52" s="220"/>
      <c r="AC52" s="222">
        <v>157495039</v>
      </c>
      <c r="AD52" s="220"/>
      <c r="AE52" s="257">
        <f t="shared" si="0"/>
        <v>157495039</v>
      </c>
      <c r="AF52" s="221" t="s">
        <v>494</v>
      </c>
    </row>
    <row r="53" spans="1:32" s="315" customFormat="1" ht="78" customHeight="1" x14ac:dyDescent="0.25">
      <c r="A53" s="326"/>
      <c r="B53" s="327">
        <v>26</v>
      </c>
      <c r="C53" s="328" t="s">
        <v>447</v>
      </c>
      <c r="D53" s="329">
        <v>22604</v>
      </c>
      <c r="E53" s="330"/>
      <c r="F53" s="331" t="s">
        <v>637</v>
      </c>
      <c r="G53" s="332" t="s">
        <v>634</v>
      </c>
      <c r="H53" s="329">
        <v>43101</v>
      </c>
      <c r="I53" s="330">
        <v>0.6</v>
      </c>
      <c r="J53" s="329">
        <v>39783</v>
      </c>
      <c r="K53" s="333"/>
      <c r="L53" s="329"/>
      <c r="M53" s="333" t="s">
        <v>269</v>
      </c>
      <c r="N53" s="329" t="s">
        <v>523</v>
      </c>
      <c r="O53" s="330"/>
      <c r="P53" s="330"/>
      <c r="Q53" s="332"/>
      <c r="R53" s="329"/>
      <c r="S53" s="342"/>
      <c r="T53" s="229">
        <v>7225965</v>
      </c>
      <c r="U53" s="330" t="s">
        <v>540</v>
      </c>
      <c r="V53" s="330"/>
      <c r="W53" s="329">
        <v>43466</v>
      </c>
      <c r="X53" s="330" t="s">
        <v>638</v>
      </c>
      <c r="Y53" s="334" t="s">
        <v>158</v>
      </c>
      <c r="Z53" s="220"/>
      <c r="AA53" s="220"/>
      <c r="AB53" s="220"/>
      <c r="AC53" s="222">
        <v>148837656</v>
      </c>
      <c r="AD53" s="220"/>
      <c r="AE53" s="257">
        <f t="shared" si="0"/>
        <v>148837656</v>
      </c>
      <c r="AF53" s="221" t="s">
        <v>428</v>
      </c>
    </row>
    <row r="54" spans="1:32" s="315" customFormat="1" ht="78" customHeight="1" x14ac:dyDescent="0.25">
      <c r="A54" s="326"/>
      <c r="B54" s="327">
        <v>27</v>
      </c>
      <c r="C54" s="328" t="s">
        <v>448</v>
      </c>
      <c r="D54" s="329">
        <v>32035</v>
      </c>
      <c r="E54" s="330"/>
      <c r="F54" s="331" t="s">
        <v>639</v>
      </c>
      <c r="G54" s="332">
        <v>2.06</v>
      </c>
      <c r="H54" s="329">
        <v>41821</v>
      </c>
      <c r="I54" s="330"/>
      <c r="J54" s="329"/>
      <c r="K54" s="333"/>
      <c r="L54" s="329"/>
      <c r="M54" s="333"/>
      <c r="N54" s="329"/>
      <c r="O54" s="330"/>
      <c r="P54" s="330"/>
      <c r="Q54" s="332">
        <v>1.86</v>
      </c>
      <c r="R54" s="329">
        <v>40544</v>
      </c>
      <c r="S54" s="342">
        <v>2492600</v>
      </c>
      <c r="T54" s="229">
        <v>1995540</v>
      </c>
      <c r="U54" s="330" t="s">
        <v>436</v>
      </c>
      <c r="V54" s="330"/>
      <c r="W54" s="329">
        <v>43466</v>
      </c>
      <c r="X54" s="330" t="s">
        <v>640</v>
      </c>
      <c r="Y54" s="220" t="s">
        <v>158</v>
      </c>
      <c r="Z54" s="220"/>
      <c r="AA54" s="220"/>
      <c r="AB54" s="220"/>
      <c r="AC54" s="222">
        <v>159883492</v>
      </c>
      <c r="AD54" s="257"/>
      <c r="AE54" s="257">
        <f t="shared" si="0"/>
        <v>159883492</v>
      </c>
      <c r="AF54" s="221" t="s">
        <v>450</v>
      </c>
    </row>
    <row r="55" spans="1:32" s="315" customFormat="1" ht="78" customHeight="1" x14ac:dyDescent="0.25">
      <c r="A55" s="326"/>
      <c r="B55" s="327">
        <v>28</v>
      </c>
      <c r="C55" s="328" t="s">
        <v>451</v>
      </c>
      <c r="D55" s="329">
        <v>23505</v>
      </c>
      <c r="E55" s="330"/>
      <c r="F55" s="331" t="s">
        <v>605</v>
      </c>
      <c r="G55" s="332" t="s">
        <v>606</v>
      </c>
      <c r="H55" s="329">
        <v>43313</v>
      </c>
      <c r="I55" s="330"/>
      <c r="J55" s="329"/>
      <c r="K55" s="333"/>
      <c r="L55" s="329"/>
      <c r="M55" s="333" t="s">
        <v>398</v>
      </c>
      <c r="N55" s="329" t="s">
        <v>607</v>
      </c>
      <c r="O55" s="330"/>
      <c r="P55" s="330"/>
      <c r="Q55" s="332"/>
      <c r="R55" s="329"/>
      <c r="S55" s="342"/>
      <c r="T55" s="229">
        <v>5575794.2333333334</v>
      </c>
      <c r="U55" s="330" t="s">
        <v>608</v>
      </c>
      <c r="V55" s="330"/>
      <c r="W55" s="329">
        <v>43617</v>
      </c>
      <c r="X55" s="330" t="s">
        <v>257</v>
      </c>
      <c r="Y55" s="334" t="s">
        <v>158</v>
      </c>
      <c r="Z55" s="220"/>
      <c r="AA55" s="220"/>
      <c r="AB55" s="220"/>
      <c r="AC55" s="222">
        <v>153295475</v>
      </c>
      <c r="AD55" s="220"/>
      <c r="AE55" s="257">
        <f t="shared" si="0"/>
        <v>153295475</v>
      </c>
      <c r="AF55" s="221" t="s">
        <v>428</v>
      </c>
    </row>
    <row r="56" spans="1:32" s="315" customFormat="1" ht="62.25" customHeight="1" x14ac:dyDescent="0.25">
      <c r="A56" s="326"/>
      <c r="B56" s="327">
        <v>29</v>
      </c>
      <c r="C56" s="328" t="s">
        <v>452</v>
      </c>
      <c r="D56" s="329">
        <v>22402</v>
      </c>
      <c r="E56" s="330"/>
      <c r="F56" s="331" t="s">
        <v>609</v>
      </c>
      <c r="G56" s="332">
        <v>4.9800000000000004</v>
      </c>
      <c r="H56" s="329">
        <v>42736</v>
      </c>
      <c r="I56" s="330" t="s">
        <v>610</v>
      </c>
      <c r="J56" s="329" t="s">
        <v>611</v>
      </c>
      <c r="K56" s="333"/>
      <c r="L56" s="329"/>
      <c r="M56" s="333"/>
      <c r="N56" s="329"/>
      <c r="O56" s="330"/>
      <c r="P56" s="330"/>
      <c r="Q56" s="332">
        <v>4.6500000000000004</v>
      </c>
      <c r="R56" s="329">
        <v>41640</v>
      </c>
      <c r="S56" s="342"/>
      <c r="T56" s="229">
        <v>6150866.666666667</v>
      </c>
      <c r="U56" s="330" t="s">
        <v>206</v>
      </c>
      <c r="V56" s="330"/>
      <c r="W56" s="329">
        <v>43466</v>
      </c>
      <c r="X56" s="330" t="s">
        <v>612</v>
      </c>
      <c r="Y56" s="334" t="s">
        <v>158</v>
      </c>
      <c r="Z56" s="220"/>
      <c r="AA56" s="220"/>
      <c r="AB56" s="220"/>
      <c r="AC56" s="222">
        <v>84858986</v>
      </c>
      <c r="AD56" s="220"/>
      <c r="AE56" s="257">
        <f t="shared" si="0"/>
        <v>84858986</v>
      </c>
      <c r="AF56" s="221" t="s">
        <v>428</v>
      </c>
    </row>
    <row r="57" spans="1:32" s="315" customFormat="1" ht="87" customHeight="1" x14ac:dyDescent="0.25">
      <c r="A57" s="326"/>
      <c r="B57" s="327">
        <v>30</v>
      </c>
      <c r="C57" s="328" t="s">
        <v>465</v>
      </c>
      <c r="D57" s="329">
        <v>22328</v>
      </c>
      <c r="E57" s="330"/>
      <c r="F57" s="331" t="s">
        <v>613</v>
      </c>
      <c r="G57" s="332">
        <v>3.86</v>
      </c>
      <c r="H57" s="329">
        <v>42917</v>
      </c>
      <c r="I57" s="330"/>
      <c r="J57" s="329"/>
      <c r="K57" s="333"/>
      <c r="L57" s="329"/>
      <c r="M57" s="333"/>
      <c r="N57" s="329"/>
      <c r="O57" s="330"/>
      <c r="P57" s="330"/>
      <c r="Q57" s="332" t="s">
        <v>395</v>
      </c>
      <c r="R57" s="329" t="s">
        <v>614</v>
      </c>
      <c r="S57" s="342"/>
      <c r="T57" s="229">
        <v>4468680</v>
      </c>
      <c r="U57" s="330" t="s">
        <v>615</v>
      </c>
      <c r="V57" s="330"/>
      <c r="W57" s="329">
        <v>43466</v>
      </c>
      <c r="X57" s="330" t="s">
        <v>255</v>
      </c>
      <c r="Y57" s="334" t="s">
        <v>158</v>
      </c>
      <c r="Z57" s="220"/>
      <c r="AA57" s="220"/>
      <c r="AB57" s="220"/>
      <c r="AC57" s="222">
        <v>112267600</v>
      </c>
      <c r="AD57" s="220"/>
      <c r="AE57" s="257">
        <f t="shared" si="0"/>
        <v>112267600</v>
      </c>
      <c r="AF57" s="221" t="s">
        <v>466</v>
      </c>
    </row>
    <row r="58" spans="1:32" s="315" customFormat="1" ht="81" customHeight="1" x14ac:dyDescent="0.25">
      <c r="A58" s="326"/>
      <c r="B58" s="327">
        <v>31</v>
      </c>
      <c r="C58" s="328" t="s">
        <v>467</v>
      </c>
      <c r="D58" s="329">
        <v>22762</v>
      </c>
      <c r="E58" s="330"/>
      <c r="F58" s="331" t="s">
        <v>613</v>
      </c>
      <c r="G58" s="332" t="s">
        <v>616</v>
      </c>
      <c r="H58" s="329">
        <v>43101</v>
      </c>
      <c r="I58" s="330"/>
      <c r="J58" s="329"/>
      <c r="K58" s="333"/>
      <c r="L58" s="329"/>
      <c r="M58" s="333" t="s">
        <v>617</v>
      </c>
      <c r="N58" s="329" t="s">
        <v>523</v>
      </c>
      <c r="O58" s="330"/>
      <c r="P58" s="330"/>
      <c r="Q58" s="332"/>
      <c r="R58" s="329"/>
      <c r="S58" s="342"/>
      <c r="T58" s="229">
        <v>5452469.0999999996</v>
      </c>
      <c r="U58" s="330" t="s">
        <v>403</v>
      </c>
      <c r="V58" s="330"/>
      <c r="W58" s="329">
        <v>43466</v>
      </c>
      <c r="X58" s="330" t="s">
        <v>562</v>
      </c>
      <c r="Y58" s="334" t="s">
        <v>158</v>
      </c>
      <c r="Z58" s="220"/>
      <c r="AA58" s="220"/>
      <c r="AB58" s="220"/>
      <c r="AC58" s="222">
        <v>106410586</v>
      </c>
      <c r="AD58" s="220"/>
      <c r="AE58" s="257">
        <f t="shared" si="0"/>
        <v>106410586</v>
      </c>
      <c r="AF58" s="221" t="s">
        <v>468</v>
      </c>
    </row>
    <row r="59" spans="1:32" s="315" customFormat="1" ht="193.5" customHeight="1" x14ac:dyDescent="0.25">
      <c r="A59" s="326"/>
      <c r="B59" s="327">
        <v>32</v>
      </c>
      <c r="C59" s="328" t="s">
        <v>472</v>
      </c>
      <c r="D59" s="329">
        <v>22798</v>
      </c>
      <c r="E59" s="330"/>
      <c r="F59" s="331" t="s">
        <v>618</v>
      </c>
      <c r="G59" s="332">
        <v>3.96</v>
      </c>
      <c r="H59" s="329">
        <v>42705</v>
      </c>
      <c r="I59" s="330"/>
      <c r="J59" s="329"/>
      <c r="K59" s="333" t="s">
        <v>407</v>
      </c>
      <c r="L59" s="329" t="s">
        <v>619</v>
      </c>
      <c r="M59" s="333"/>
      <c r="N59" s="329"/>
      <c r="O59" s="330"/>
      <c r="P59" s="330"/>
      <c r="Q59" s="332">
        <v>3.65</v>
      </c>
      <c r="R59" s="329">
        <v>41609</v>
      </c>
      <c r="S59" s="342"/>
      <c r="T59" s="229">
        <v>5442067.666666667</v>
      </c>
      <c r="U59" s="330" t="s">
        <v>391</v>
      </c>
      <c r="V59" s="330"/>
      <c r="W59" s="329">
        <v>43466</v>
      </c>
      <c r="X59" s="330" t="s">
        <v>620</v>
      </c>
      <c r="Y59" s="334" t="s">
        <v>158</v>
      </c>
      <c r="Z59" s="220"/>
      <c r="AA59" s="220"/>
      <c r="AB59" s="220"/>
      <c r="AC59" s="222">
        <v>175738262</v>
      </c>
      <c r="AD59" s="220"/>
      <c r="AE59" s="257">
        <f t="shared" si="0"/>
        <v>175738262</v>
      </c>
      <c r="AF59" s="221" t="s">
        <v>644</v>
      </c>
    </row>
    <row r="60" spans="1:32" s="315" customFormat="1" ht="105.75" customHeight="1" x14ac:dyDescent="0.25">
      <c r="A60" s="326"/>
      <c r="B60" s="327">
        <v>33</v>
      </c>
      <c r="C60" s="328" t="s">
        <v>477</v>
      </c>
      <c r="D60" s="329">
        <v>22252</v>
      </c>
      <c r="E60" s="330"/>
      <c r="F60" s="331" t="s">
        <v>621</v>
      </c>
      <c r="G60" s="332" t="s">
        <v>622</v>
      </c>
      <c r="H60" s="329">
        <v>43221</v>
      </c>
      <c r="I60" s="330">
        <v>0.3</v>
      </c>
      <c r="J60" s="329">
        <v>38261</v>
      </c>
      <c r="K60" s="333"/>
      <c r="L60" s="329"/>
      <c r="M60" s="333">
        <v>0.05</v>
      </c>
      <c r="N60" s="329">
        <v>42856</v>
      </c>
      <c r="O60" s="330"/>
      <c r="P60" s="330"/>
      <c r="Q60" s="332" t="s">
        <v>623</v>
      </c>
      <c r="R60" s="329" t="s">
        <v>624</v>
      </c>
      <c r="S60" s="342"/>
      <c r="T60" s="229">
        <v>6524214.2000000002</v>
      </c>
      <c r="U60" s="330" t="s">
        <v>172</v>
      </c>
      <c r="V60" s="330"/>
      <c r="W60" s="329">
        <v>43466</v>
      </c>
      <c r="X60" s="330" t="s">
        <v>248</v>
      </c>
      <c r="Y60" s="334" t="s">
        <v>158</v>
      </c>
      <c r="Z60" s="220"/>
      <c r="AA60" s="220"/>
      <c r="AB60" s="220"/>
      <c r="AC60" s="222">
        <v>185258435</v>
      </c>
      <c r="AD60" s="220"/>
      <c r="AE60" s="257">
        <f t="shared" si="0"/>
        <v>185258435</v>
      </c>
      <c r="AF60" s="221" t="s">
        <v>498</v>
      </c>
    </row>
    <row r="61" spans="1:32" s="315" customFormat="1" ht="100.5" customHeight="1" x14ac:dyDescent="0.25">
      <c r="A61" s="326"/>
      <c r="B61" s="327">
        <v>34</v>
      </c>
      <c r="C61" s="328" t="s">
        <v>478</v>
      </c>
      <c r="D61" s="329">
        <v>22487</v>
      </c>
      <c r="E61" s="330"/>
      <c r="F61" s="331" t="s">
        <v>625</v>
      </c>
      <c r="G61" s="332" t="s">
        <v>626</v>
      </c>
      <c r="H61" s="329">
        <v>43101</v>
      </c>
      <c r="I61" s="330"/>
      <c r="J61" s="329"/>
      <c r="K61" s="333"/>
      <c r="L61" s="329"/>
      <c r="M61" s="333" t="s">
        <v>627</v>
      </c>
      <c r="N61" s="329" t="s">
        <v>523</v>
      </c>
      <c r="O61" s="330"/>
      <c r="P61" s="330"/>
      <c r="Q61" s="332"/>
      <c r="R61" s="329"/>
      <c r="S61" s="342"/>
      <c r="T61" s="229">
        <v>5176561.5</v>
      </c>
      <c r="U61" s="330" t="s">
        <v>397</v>
      </c>
      <c r="V61" s="330"/>
      <c r="W61" s="329">
        <v>43466</v>
      </c>
      <c r="X61" s="330" t="s">
        <v>511</v>
      </c>
      <c r="Y61" s="334" t="s">
        <v>158</v>
      </c>
      <c r="Z61" s="220"/>
      <c r="AA61" s="220"/>
      <c r="AB61" s="220"/>
      <c r="AC61" s="222">
        <v>155802467</v>
      </c>
      <c r="AD61" s="220"/>
      <c r="AE61" s="257">
        <f t="shared" si="0"/>
        <v>155802467</v>
      </c>
      <c r="AF61" s="221" t="s">
        <v>499</v>
      </c>
    </row>
    <row r="62" spans="1:32" s="315" customFormat="1" ht="108.75" customHeight="1" x14ac:dyDescent="0.25">
      <c r="A62" s="326"/>
      <c r="B62" s="327">
        <v>35</v>
      </c>
      <c r="C62" s="328" t="s">
        <v>488</v>
      </c>
      <c r="D62" s="329">
        <v>24550</v>
      </c>
      <c r="E62" s="330"/>
      <c r="F62" s="331" t="s">
        <v>628</v>
      </c>
      <c r="G62" s="332" t="s">
        <v>449</v>
      </c>
      <c r="H62" s="329">
        <v>43101</v>
      </c>
      <c r="I62" s="330"/>
      <c r="J62" s="329"/>
      <c r="K62" s="333"/>
      <c r="L62" s="329"/>
      <c r="M62" s="333" t="s">
        <v>401</v>
      </c>
      <c r="N62" s="329" t="s">
        <v>629</v>
      </c>
      <c r="O62" s="330"/>
      <c r="P62" s="330"/>
      <c r="Q62" s="332">
        <v>4.0599999999999996</v>
      </c>
      <c r="R62" s="329">
        <v>41275</v>
      </c>
      <c r="S62" s="342"/>
      <c r="T62" s="229">
        <v>5274467.8</v>
      </c>
      <c r="U62" s="330" t="s">
        <v>399</v>
      </c>
      <c r="V62" s="330"/>
      <c r="W62" s="329">
        <v>43556</v>
      </c>
      <c r="X62" s="330" t="s">
        <v>630</v>
      </c>
      <c r="Y62" s="334" t="s">
        <v>158</v>
      </c>
      <c r="Z62" s="220"/>
      <c r="AA62" s="220"/>
      <c r="AB62" s="220"/>
      <c r="AC62" s="222">
        <v>119077232</v>
      </c>
      <c r="AD62" s="220"/>
      <c r="AE62" s="257">
        <f t="shared" si="0"/>
        <v>119077232</v>
      </c>
      <c r="AF62" s="221" t="s">
        <v>498</v>
      </c>
    </row>
    <row r="63" spans="1:32" s="315" customFormat="1" ht="108.75" customHeight="1" x14ac:dyDescent="0.25">
      <c r="A63" s="326"/>
      <c r="B63" s="327">
        <v>36</v>
      </c>
      <c r="C63" s="328" t="s">
        <v>482</v>
      </c>
      <c r="D63" s="329">
        <v>22881</v>
      </c>
      <c r="E63" s="330"/>
      <c r="F63" s="331" t="s">
        <v>631</v>
      </c>
      <c r="G63" s="332" t="s">
        <v>632</v>
      </c>
      <c r="H63" s="329">
        <v>43282</v>
      </c>
      <c r="I63" s="330"/>
      <c r="J63" s="329"/>
      <c r="K63" s="333"/>
      <c r="L63" s="329"/>
      <c r="M63" s="333" t="s">
        <v>633</v>
      </c>
      <c r="N63" s="329" t="s">
        <v>523</v>
      </c>
      <c r="O63" s="330"/>
      <c r="P63" s="330"/>
      <c r="Q63" s="332"/>
      <c r="R63" s="329"/>
      <c r="S63" s="342"/>
      <c r="T63" s="229">
        <v>5735034.2000000002</v>
      </c>
      <c r="U63" s="330" t="s">
        <v>426</v>
      </c>
      <c r="V63" s="330"/>
      <c r="W63" s="329">
        <v>43466</v>
      </c>
      <c r="X63" s="330" t="s">
        <v>541</v>
      </c>
      <c r="Y63" s="334" t="s">
        <v>158</v>
      </c>
      <c r="Z63" s="220"/>
      <c r="AA63" s="220"/>
      <c r="AB63" s="220"/>
      <c r="AC63" s="222">
        <v>102346506</v>
      </c>
      <c r="AD63" s="220"/>
      <c r="AE63" s="257">
        <f t="shared" si="0"/>
        <v>102346506</v>
      </c>
      <c r="AF63" s="221" t="s">
        <v>646</v>
      </c>
    </row>
    <row r="64" spans="1:32" s="315" customFormat="1" ht="202.5" customHeight="1" x14ac:dyDescent="0.25">
      <c r="A64" s="326"/>
      <c r="B64" s="327">
        <v>37</v>
      </c>
      <c r="C64" s="328" t="s">
        <v>475</v>
      </c>
      <c r="D64" s="329">
        <v>22558</v>
      </c>
      <c r="E64" s="330"/>
      <c r="F64" s="331" t="s">
        <v>631</v>
      </c>
      <c r="G64" s="332" t="s">
        <v>634</v>
      </c>
      <c r="H64" s="329">
        <v>43282</v>
      </c>
      <c r="I64" s="330"/>
      <c r="J64" s="329"/>
      <c r="K64" s="333"/>
      <c r="L64" s="329"/>
      <c r="M64" s="333" t="s">
        <v>269</v>
      </c>
      <c r="N64" s="329" t="s">
        <v>523</v>
      </c>
      <c r="O64" s="330"/>
      <c r="P64" s="330"/>
      <c r="Q64" s="332"/>
      <c r="R64" s="329"/>
      <c r="S64" s="342"/>
      <c r="T64" s="229">
        <v>6488691</v>
      </c>
      <c r="U64" s="330" t="s">
        <v>635</v>
      </c>
      <c r="V64" s="330"/>
      <c r="W64" s="329">
        <v>43466</v>
      </c>
      <c r="X64" s="330" t="s">
        <v>636</v>
      </c>
      <c r="Y64" s="334"/>
      <c r="Z64" s="220"/>
      <c r="AA64" s="220" t="s">
        <v>158</v>
      </c>
      <c r="AB64" s="220"/>
      <c r="AC64" s="222">
        <v>313412705</v>
      </c>
      <c r="AD64" s="257">
        <v>24892071</v>
      </c>
      <c r="AE64" s="257">
        <v>288520634</v>
      </c>
      <c r="AF64" s="221" t="s">
        <v>645</v>
      </c>
    </row>
    <row r="65" spans="1:43" s="315" customFormat="1" ht="101.25" customHeight="1" x14ac:dyDescent="0.25">
      <c r="A65" s="326"/>
      <c r="B65" s="327">
        <v>38</v>
      </c>
      <c r="C65" s="328" t="s">
        <v>481</v>
      </c>
      <c r="D65" s="329">
        <v>22604</v>
      </c>
      <c r="E65" s="330"/>
      <c r="F65" s="331" t="s">
        <v>637</v>
      </c>
      <c r="G65" s="332" t="s">
        <v>634</v>
      </c>
      <c r="H65" s="329">
        <v>43101</v>
      </c>
      <c r="I65" s="330">
        <v>0.6</v>
      </c>
      <c r="J65" s="329">
        <v>39783</v>
      </c>
      <c r="K65" s="333"/>
      <c r="L65" s="329"/>
      <c r="M65" s="333" t="s">
        <v>269</v>
      </c>
      <c r="N65" s="329" t="s">
        <v>523</v>
      </c>
      <c r="O65" s="330"/>
      <c r="P65" s="330"/>
      <c r="Q65" s="332"/>
      <c r="R65" s="329"/>
      <c r="S65" s="342"/>
      <c r="T65" s="229">
        <v>7225965</v>
      </c>
      <c r="U65" s="330" t="s">
        <v>540</v>
      </c>
      <c r="V65" s="330"/>
      <c r="W65" s="329">
        <v>43466</v>
      </c>
      <c r="X65" s="330" t="s">
        <v>638</v>
      </c>
      <c r="Y65" s="334"/>
      <c r="Z65" s="220"/>
      <c r="AA65" s="220" t="s">
        <v>158</v>
      </c>
      <c r="AB65" s="220"/>
      <c r="AC65" s="222">
        <v>41338500</v>
      </c>
      <c r="AD65" s="257">
        <v>10057500</v>
      </c>
      <c r="AE65" s="257">
        <v>31281000</v>
      </c>
      <c r="AF65" s="221" t="s">
        <v>470</v>
      </c>
    </row>
    <row r="66" spans="1:43" s="315" customFormat="1" ht="101.25" customHeight="1" x14ac:dyDescent="0.25">
      <c r="A66" s="326"/>
      <c r="B66" s="327">
        <v>39</v>
      </c>
      <c r="C66" s="328" t="s">
        <v>500</v>
      </c>
      <c r="D66" s="329">
        <v>32035</v>
      </c>
      <c r="E66" s="330"/>
      <c r="F66" s="331" t="s">
        <v>639</v>
      </c>
      <c r="G66" s="332">
        <v>2.06</v>
      </c>
      <c r="H66" s="329">
        <v>41821</v>
      </c>
      <c r="I66" s="330"/>
      <c r="J66" s="329"/>
      <c r="K66" s="333"/>
      <c r="L66" s="329"/>
      <c r="M66" s="333"/>
      <c r="N66" s="329"/>
      <c r="O66" s="330"/>
      <c r="P66" s="330"/>
      <c r="Q66" s="332">
        <v>1.86</v>
      </c>
      <c r="R66" s="329">
        <v>40544</v>
      </c>
      <c r="S66" s="342">
        <v>2492600</v>
      </c>
      <c r="T66" s="229">
        <v>1995540</v>
      </c>
      <c r="U66" s="330" t="s">
        <v>436</v>
      </c>
      <c r="V66" s="330"/>
      <c r="W66" s="329">
        <v>43466</v>
      </c>
      <c r="X66" s="330" t="s">
        <v>640</v>
      </c>
      <c r="Y66" s="220"/>
      <c r="Z66" s="220"/>
      <c r="AA66" s="220" t="s">
        <v>158</v>
      </c>
      <c r="AB66" s="220"/>
      <c r="AC66" s="222">
        <v>49310000</v>
      </c>
      <c r="AD66" s="257">
        <v>10057500</v>
      </c>
      <c r="AE66" s="257">
        <v>39252500</v>
      </c>
      <c r="AF66" s="221" t="s">
        <v>480</v>
      </c>
    </row>
    <row r="67" spans="1:43" s="303" customFormat="1" ht="24.75" hidden="1" customHeight="1" x14ac:dyDescent="0.25">
      <c r="B67" s="316" t="s">
        <v>359</v>
      </c>
      <c r="C67" s="317" t="s">
        <v>360</v>
      </c>
      <c r="D67" s="318"/>
      <c r="E67" s="318" t="str">
        <f>COUNTA(D68:D106)&amp;" HỒ SƠ"</f>
        <v>7 HỒ SƠ</v>
      </c>
      <c r="F67" s="319"/>
      <c r="G67" s="319"/>
      <c r="H67" s="319"/>
      <c r="I67" s="319"/>
      <c r="J67" s="319"/>
      <c r="K67" s="319"/>
      <c r="L67" s="319"/>
      <c r="M67" s="319"/>
      <c r="N67" s="319"/>
      <c r="O67" s="319"/>
      <c r="P67" s="319"/>
      <c r="Q67" s="319"/>
      <c r="R67" s="319"/>
      <c r="S67" s="320"/>
      <c r="T67" s="321"/>
      <c r="U67" s="319"/>
      <c r="V67" s="319"/>
      <c r="W67" s="322"/>
      <c r="X67" s="319"/>
      <c r="Y67" s="319"/>
      <c r="Z67" s="319"/>
      <c r="AA67" s="319"/>
      <c r="AB67" s="319"/>
      <c r="AC67" s="323">
        <f>SUM(AC68:AC73)</f>
        <v>0</v>
      </c>
      <c r="AD67" s="323"/>
      <c r="AE67" s="323">
        <f>SUM(AE68:AE73)</f>
        <v>0</v>
      </c>
      <c r="AF67" s="324"/>
    </row>
    <row r="68" spans="1:43" s="303" customFormat="1" ht="36" hidden="1" customHeight="1" x14ac:dyDescent="0.25">
      <c r="A68" s="326"/>
      <c r="B68" s="327">
        <v>1</v>
      </c>
      <c r="C68" s="328"/>
      <c r="D68" s="329">
        <v>22486</v>
      </c>
      <c r="E68" s="330"/>
      <c r="F68" s="331" t="s">
        <v>509</v>
      </c>
      <c r="G68" s="332">
        <v>4.9800000000000004</v>
      </c>
      <c r="H68" s="329">
        <v>42370</v>
      </c>
      <c r="I68" s="330"/>
      <c r="J68" s="329"/>
      <c r="K68" s="333"/>
      <c r="L68" s="329"/>
      <c r="M68" s="333"/>
      <c r="N68" s="329"/>
      <c r="O68" s="330"/>
      <c r="P68" s="330"/>
      <c r="Q68" s="332">
        <v>4.6500000000000004</v>
      </c>
      <c r="R68" s="329">
        <v>41275</v>
      </c>
      <c r="S68" s="229"/>
      <c r="T68" s="229">
        <v>5913840</v>
      </c>
      <c r="U68" s="330" t="s">
        <v>510</v>
      </c>
      <c r="V68" s="330"/>
      <c r="W68" s="329">
        <v>43466</v>
      </c>
      <c r="X68" s="330" t="s">
        <v>511</v>
      </c>
      <c r="Y68" s="334" t="s">
        <v>158</v>
      </c>
      <c r="Z68" s="334"/>
      <c r="AA68" s="335"/>
      <c r="AB68" s="335"/>
      <c r="AC68" s="336"/>
      <c r="AD68" s="335"/>
      <c r="AE68" s="337"/>
      <c r="AF68" s="221"/>
    </row>
    <row r="69" spans="1:43" s="303" customFormat="1" ht="36" hidden="1" customHeight="1" x14ac:dyDescent="0.25">
      <c r="A69" s="326"/>
      <c r="B69" s="327">
        <v>2</v>
      </c>
      <c r="C69" s="328"/>
      <c r="D69" s="329">
        <v>22439</v>
      </c>
      <c r="E69" s="330"/>
      <c r="F69" s="331" t="s">
        <v>509</v>
      </c>
      <c r="G69" s="332">
        <v>3.66</v>
      </c>
      <c r="H69" s="329">
        <v>43405</v>
      </c>
      <c r="I69" s="330"/>
      <c r="J69" s="329"/>
      <c r="K69" s="333"/>
      <c r="L69" s="329"/>
      <c r="M69" s="333"/>
      <c r="N69" s="329"/>
      <c r="O69" s="330"/>
      <c r="P69" s="330"/>
      <c r="Q69" s="332" t="s">
        <v>512</v>
      </c>
      <c r="R69" s="329" t="s">
        <v>513</v>
      </c>
      <c r="S69" s="229"/>
      <c r="T69" s="229">
        <v>4053680</v>
      </c>
      <c r="U69" s="330" t="s">
        <v>514</v>
      </c>
      <c r="V69" s="330"/>
      <c r="W69" s="329">
        <v>43466</v>
      </c>
      <c r="X69" s="330" t="s">
        <v>366</v>
      </c>
      <c r="Y69" s="334" t="s">
        <v>158</v>
      </c>
      <c r="Z69" s="334"/>
      <c r="AA69" s="335"/>
      <c r="AB69" s="335"/>
      <c r="AC69" s="336"/>
      <c r="AD69" s="335"/>
      <c r="AE69" s="337"/>
      <c r="AF69" s="221"/>
    </row>
    <row r="70" spans="1:43" s="303" customFormat="1" ht="36" hidden="1" customHeight="1" x14ac:dyDescent="0.25">
      <c r="A70" s="326"/>
      <c r="B70" s="327">
        <v>3</v>
      </c>
      <c r="C70" s="328"/>
      <c r="D70" s="329">
        <v>22008</v>
      </c>
      <c r="E70" s="330"/>
      <c r="F70" s="331" t="s">
        <v>515</v>
      </c>
      <c r="G70" s="332">
        <v>2.0699999999999998</v>
      </c>
      <c r="H70" s="329">
        <v>43101</v>
      </c>
      <c r="I70" s="330"/>
      <c r="J70" s="329"/>
      <c r="K70" s="333"/>
      <c r="L70" s="329"/>
      <c r="M70" s="333"/>
      <c r="N70" s="329"/>
      <c r="O70" s="330"/>
      <c r="P70" s="330"/>
      <c r="Q70" s="332" t="s">
        <v>516</v>
      </c>
      <c r="R70" s="329" t="s">
        <v>517</v>
      </c>
      <c r="S70" s="229"/>
      <c r="T70" s="229"/>
      <c r="U70" s="330" t="s">
        <v>518</v>
      </c>
      <c r="V70" s="330"/>
      <c r="W70" s="329">
        <v>43466</v>
      </c>
      <c r="X70" s="330" t="s">
        <v>519</v>
      </c>
      <c r="Y70" s="334" t="s">
        <v>158</v>
      </c>
      <c r="Z70" s="334"/>
      <c r="AA70" s="335"/>
      <c r="AB70" s="335"/>
      <c r="AC70" s="336"/>
      <c r="AD70" s="335"/>
      <c r="AE70" s="337"/>
      <c r="AF70" s="221"/>
    </row>
    <row r="71" spans="1:43" s="303" customFormat="1" ht="52.5" hidden="1" customHeight="1" x14ac:dyDescent="0.25">
      <c r="A71" s="326"/>
      <c r="B71" s="327">
        <v>4</v>
      </c>
      <c r="C71" s="328"/>
      <c r="D71" s="329">
        <v>22262</v>
      </c>
      <c r="E71" s="330"/>
      <c r="F71" s="331" t="s">
        <v>520</v>
      </c>
      <c r="G71" s="332" t="s">
        <v>521</v>
      </c>
      <c r="H71" s="329">
        <v>43282</v>
      </c>
      <c r="I71" s="330">
        <v>0.3</v>
      </c>
      <c r="J71" s="329" t="s">
        <v>522</v>
      </c>
      <c r="K71" s="333"/>
      <c r="L71" s="329"/>
      <c r="M71" s="333" t="s">
        <v>406</v>
      </c>
      <c r="N71" s="329" t="s">
        <v>523</v>
      </c>
      <c r="O71" s="330"/>
      <c r="P71" s="330"/>
      <c r="Q71" s="332"/>
      <c r="R71" s="329"/>
      <c r="S71" s="229"/>
      <c r="T71" s="229">
        <v>7257835.7999999998</v>
      </c>
      <c r="U71" s="330" t="s">
        <v>524</v>
      </c>
      <c r="V71" s="330"/>
      <c r="W71" s="329">
        <v>43466</v>
      </c>
      <c r="X71" s="330" t="s">
        <v>248</v>
      </c>
      <c r="Y71" s="334" t="s">
        <v>158</v>
      </c>
      <c r="Z71" s="334"/>
      <c r="AA71" s="335"/>
      <c r="AB71" s="335"/>
      <c r="AC71" s="336"/>
      <c r="AD71" s="335"/>
      <c r="AE71" s="337"/>
      <c r="AF71" s="221"/>
    </row>
    <row r="72" spans="1:43" s="303" customFormat="1" ht="36" hidden="1" customHeight="1" x14ac:dyDescent="0.25">
      <c r="A72" s="326"/>
      <c r="B72" s="327">
        <v>5</v>
      </c>
      <c r="C72" s="328"/>
      <c r="D72" s="329">
        <v>23000</v>
      </c>
      <c r="E72" s="330"/>
      <c r="F72" s="331" t="s">
        <v>525</v>
      </c>
      <c r="G72" s="332">
        <v>3</v>
      </c>
      <c r="H72" s="329">
        <v>42917</v>
      </c>
      <c r="I72" s="330"/>
      <c r="J72" s="329"/>
      <c r="K72" s="333"/>
      <c r="L72" s="329"/>
      <c r="M72" s="333"/>
      <c r="N72" s="329"/>
      <c r="O72" s="330"/>
      <c r="P72" s="330"/>
      <c r="Q72" s="332" t="s">
        <v>526</v>
      </c>
      <c r="R72" s="329" t="s">
        <v>527</v>
      </c>
      <c r="S72" s="229"/>
      <c r="T72" s="229">
        <v>3359580</v>
      </c>
      <c r="U72" s="330" t="s">
        <v>528</v>
      </c>
      <c r="V72" s="330"/>
      <c r="W72" s="329">
        <v>43466</v>
      </c>
      <c r="X72" s="330" t="s">
        <v>529</v>
      </c>
      <c r="Y72" s="334" t="s">
        <v>158</v>
      </c>
      <c r="Z72" s="334"/>
      <c r="AA72" s="335"/>
      <c r="AB72" s="335"/>
      <c r="AC72" s="336"/>
      <c r="AD72" s="335"/>
      <c r="AE72" s="337"/>
      <c r="AF72" s="221"/>
    </row>
    <row r="73" spans="1:43" s="303" customFormat="1" ht="36" hidden="1" customHeight="1" x14ac:dyDescent="0.25">
      <c r="A73" s="326"/>
      <c r="B73" s="343">
        <v>6</v>
      </c>
      <c r="C73" s="344"/>
      <c r="D73" s="345">
        <v>24944</v>
      </c>
      <c r="E73" s="346"/>
      <c r="F73" s="347" t="s">
        <v>530</v>
      </c>
      <c r="G73" s="348" t="s">
        <v>531</v>
      </c>
      <c r="H73" s="345">
        <v>43101</v>
      </c>
      <c r="I73" s="346"/>
      <c r="J73" s="345"/>
      <c r="K73" s="349"/>
      <c r="L73" s="345"/>
      <c r="M73" s="349" t="s">
        <v>441</v>
      </c>
      <c r="N73" s="345" t="s">
        <v>523</v>
      </c>
      <c r="O73" s="346"/>
      <c r="P73" s="346"/>
      <c r="Q73" s="348"/>
      <c r="R73" s="345"/>
      <c r="S73" s="350"/>
      <c r="T73" s="229">
        <v>4665949.2</v>
      </c>
      <c r="U73" s="330" t="s">
        <v>532</v>
      </c>
      <c r="V73" s="330"/>
      <c r="W73" s="329">
        <v>43466</v>
      </c>
      <c r="X73" s="330" t="s">
        <v>533</v>
      </c>
      <c r="Y73" s="351" t="s">
        <v>158</v>
      </c>
      <c r="Z73" s="351"/>
      <c r="AA73" s="352"/>
      <c r="AB73" s="352"/>
      <c r="AC73" s="353"/>
      <c r="AD73" s="352"/>
      <c r="AE73" s="337"/>
      <c r="AF73" s="354"/>
    </row>
    <row r="74" spans="1:43" ht="35.25" customHeight="1" thickBot="1" x14ac:dyDescent="0.4">
      <c r="B74" s="355"/>
      <c r="C74" s="356" t="s">
        <v>38</v>
      </c>
      <c r="D74" s="356" t="str">
        <f>COUNTA(D19:D54)&amp;" HỒ SƠ"</f>
        <v>35 HỒ SƠ</v>
      </c>
      <c r="E74" s="357"/>
      <c r="F74" s="357"/>
      <c r="G74" s="357"/>
      <c r="H74" s="357"/>
      <c r="I74" s="357"/>
      <c r="J74" s="357"/>
      <c r="K74" s="357"/>
      <c r="L74" s="357"/>
      <c r="M74" s="357"/>
      <c r="N74" s="357"/>
      <c r="O74" s="357"/>
      <c r="P74" s="357"/>
      <c r="Q74" s="357"/>
      <c r="R74" s="357"/>
      <c r="S74" s="358"/>
      <c r="T74" s="359"/>
      <c r="U74" s="357"/>
      <c r="V74" s="357"/>
      <c r="W74" s="360"/>
      <c r="X74" s="357"/>
      <c r="Y74" s="361" t="str">
        <f>COUNTA(Y19:Y66) &amp; " hồ sơ"</f>
        <v>42 hồ sơ</v>
      </c>
      <c r="Z74" s="361"/>
      <c r="AA74" s="361" t="str">
        <f>COUNTA(AA19:AA66)&amp;" hồ sơ"</f>
        <v>5 hồ sơ</v>
      </c>
      <c r="AB74" s="357"/>
      <c r="AC74" s="361">
        <f>SUM(AC17,AC67)</f>
        <v>6181494375</v>
      </c>
      <c r="AD74" s="361">
        <f>SUM(AD17,AD67)</f>
        <v>68787471</v>
      </c>
      <c r="AE74" s="361">
        <f>SUM(AE17,AE67)</f>
        <v>6112706904</v>
      </c>
      <c r="AF74" s="362"/>
    </row>
    <row r="75" spans="1:43" ht="35.25" hidden="1" customHeight="1" x14ac:dyDescent="0.35">
      <c r="B75" s="7"/>
    </row>
    <row r="76" spans="1:43" ht="24.75" hidden="1" customHeight="1" x14ac:dyDescent="0.35">
      <c r="B76" s="8"/>
      <c r="C76" s="9"/>
      <c r="Y76" s="671" t="s">
        <v>133</v>
      </c>
      <c r="Z76" s="671"/>
      <c r="AA76" s="671"/>
      <c r="AB76" s="671"/>
      <c r="AC76" s="671"/>
      <c r="AD76" s="671"/>
      <c r="AE76" s="671"/>
      <c r="AF76" s="671"/>
      <c r="AK76" s="64"/>
      <c r="AL76" s="64"/>
      <c r="AM76" s="64"/>
      <c r="AN76" s="64"/>
      <c r="AO76" s="64"/>
      <c r="AP76" s="64"/>
      <c r="AQ76" s="64"/>
    </row>
    <row r="77" spans="1:43" ht="21.75" hidden="1" customHeight="1" x14ac:dyDescent="0.35">
      <c r="B77" s="59" t="s">
        <v>39</v>
      </c>
      <c r="C77" s="10"/>
      <c r="Y77" s="672" t="s">
        <v>131</v>
      </c>
      <c r="Z77" s="672"/>
      <c r="AA77" s="672"/>
      <c r="AB77" s="672"/>
      <c r="AC77" s="672"/>
      <c r="AD77" s="672"/>
      <c r="AE77" s="672"/>
      <c r="AF77" s="672"/>
      <c r="AK77" s="65"/>
      <c r="AL77" s="65"/>
      <c r="AM77" s="65"/>
      <c r="AN77" s="65"/>
      <c r="AO77" s="65"/>
      <c r="AP77" s="65"/>
      <c r="AQ77" s="65"/>
    </row>
    <row r="78" spans="1:43" ht="35.25" hidden="1" customHeight="1" x14ac:dyDescent="0.35">
      <c r="B78" s="60" t="s">
        <v>40</v>
      </c>
      <c r="C78" s="11"/>
    </row>
    <row r="79" spans="1:43" ht="35.25" hidden="1" customHeight="1" x14ac:dyDescent="0.35">
      <c r="B79" s="230" t="s">
        <v>326</v>
      </c>
      <c r="C79" s="12"/>
    </row>
    <row r="80" spans="1:43" ht="35.25" hidden="1" customHeight="1" x14ac:dyDescent="0.35">
      <c r="B80" s="60"/>
      <c r="C80" s="12"/>
    </row>
    <row r="81" spans="2:43" ht="35.25" hidden="1" customHeight="1" x14ac:dyDescent="0.35">
      <c r="B81" s="13"/>
    </row>
    <row r="82" spans="2:43" ht="35.25" hidden="1" customHeight="1" x14ac:dyDescent="0.35">
      <c r="B82" s="7"/>
    </row>
    <row r="83" spans="2:43" ht="18.5" hidden="1" x14ac:dyDescent="0.45">
      <c r="B83" s="13"/>
      <c r="Y83" s="673" t="s">
        <v>132</v>
      </c>
      <c r="Z83" s="673"/>
      <c r="AA83" s="673"/>
      <c r="AB83" s="673"/>
      <c r="AC83" s="673"/>
      <c r="AD83" s="673"/>
      <c r="AE83" s="673"/>
      <c r="AF83" s="673"/>
      <c r="AK83" s="61"/>
      <c r="AL83" s="61"/>
      <c r="AM83" s="61"/>
      <c r="AN83" s="61"/>
      <c r="AO83" s="61"/>
      <c r="AP83" s="61"/>
      <c r="AQ83" s="61"/>
    </row>
    <row r="84" spans="2:43" hidden="1" x14ac:dyDescent="0.35">
      <c r="B84" s="13" t="s">
        <v>42</v>
      </c>
    </row>
    <row r="85" spans="2:43" hidden="1" x14ac:dyDescent="0.35">
      <c r="B85" s="7" t="s">
        <v>82</v>
      </c>
    </row>
    <row r="88" spans="2:43" x14ac:dyDescent="0.35">
      <c r="I88" s="20"/>
      <c r="J88" s="20"/>
      <c r="L88" s="20"/>
    </row>
    <row r="89" spans="2:43" hidden="1" x14ac:dyDescent="0.35">
      <c r="AC89" s="77">
        <v>256021146</v>
      </c>
    </row>
    <row r="90" spans="2:43" hidden="1" x14ac:dyDescent="0.35"/>
    <row r="91" spans="2:43" hidden="1" x14ac:dyDescent="0.35">
      <c r="AC91" s="366">
        <f>AC74-AC89</f>
        <v>5925473229</v>
      </c>
    </row>
    <row r="92" spans="2:43" hidden="1" x14ac:dyDescent="0.35"/>
    <row r="95" spans="2:43" x14ac:dyDescent="0.35">
      <c r="I95" s="20"/>
      <c r="K95" s="21"/>
    </row>
  </sheetData>
  <mergeCells count="40">
    <mergeCell ref="B8:AF8"/>
    <mergeCell ref="B1:E1"/>
    <mergeCell ref="X1:AF1"/>
    <mergeCell ref="B2:E2"/>
    <mergeCell ref="P2:AF2"/>
    <mergeCell ref="B3:E3"/>
    <mergeCell ref="P3:AF3"/>
    <mergeCell ref="B4:E4"/>
    <mergeCell ref="P4:AF4"/>
    <mergeCell ref="B5:E5"/>
    <mergeCell ref="P5:AF5"/>
    <mergeCell ref="B7:AF7"/>
    <mergeCell ref="Q14:R14"/>
    <mergeCell ref="B9:AF9"/>
    <mergeCell ref="B10:AF10"/>
    <mergeCell ref="B11:AF11"/>
    <mergeCell ref="B12:AF12"/>
    <mergeCell ref="B13:AF13"/>
    <mergeCell ref="B14:B15"/>
    <mergeCell ref="C14:C15"/>
    <mergeCell ref="D14:D15"/>
    <mergeCell ref="E14:E15"/>
    <mergeCell ref="F14:F15"/>
    <mergeCell ref="G14:H14"/>
    <mergeCell ref="I14:J14"/>
    <mergeCell ref="K14:L14"/>
    <mergeCell ref="M14:N14"/>
    <mergeCell ref="O14:P14"/>
    <mergeCell ref="S14:S15"/>
    <mergeCell ref="T14:T15"/>
    <mergeCell ref="U14:V14"/>
    <mergeCell ref="W14:W15"/>
    <mergeCell ref="X14:X15"/>
    <mergeCell ref="AC14:AE14"/>
    <mergeCell ref="AF14:AF15"/>
    <mergeCell ref="Y76:AF76"/>
    <mergeCell ref="Y77:AF77"/>
    <mergeCell ref="Y83:AF83"/>
    <mergeCell ref="AC22:AE22"/>
    <mergeCell ref="Y14:AB14"/>
  </mergeCells>
  <pageMargins left="0.19685039370078741" right="0.19685039370078741" top="0.19685039370078741" bottom="0.19685039370078741" header="0.19685039370078741" footer="0.19685039370078741"/>
  <pageSetup paperSize="9" scale="85" orientation="landscape" r:id="rId1"/>
  <headerFooter>
    <oddFooter>Page &amp;P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130"/>
  <sheetViews>
    <sheetView zoomScale="136" zoomScaleNormal="136" workbookViewId="0">
      <pane xSplit="2" ySplit="9" topLeftCell="C10" activePane="bottomRight" state="frozen"/>
      <selection activeCell="A4" sqref="A4"/>
      <selection pane="topRight" activeCell="D4" sqref="D4"/>
      <selection pane="bottomLeft" activeCell="A8" sqref="A8"/>
      <selection pane="bottomRight" activeCell="A5" sqref="A5:AF5"/>
    </sheetView>
  </sheetViews>
  <sheetFormatPr defaultRowHeight="15.5" x14ac:dyDescent="0.35"/>
  <cols>
    <col min="1" max="1" width="4.81640625" style="117" customWidth="1"/>
    <col min="2" max="2" width="22.453125" style="269" customWidth="1"/>
    <col min="3" max="3" width="8.7265625" style="574" customWidth="1"/>
    <col min="4" max="4" width="7.7265625" style="117" hidden="1" customWidth="1"/>
    <col min="5" max="5" width="7.7265625" style="117" customWidth="1"/>
    <col min="6" max="6" width="20.1796875" style="211" customWidth="1"/>
    <col min="7" max="7" width="7.54296875" style="373" customWidth="1"/>
    <col min="8" max="8" width="5.81640625" style="117" customWidth="1"/>
    <col min="9" max="9" width="4.81640625" style="117" customWidth="1"/>
    <col min="10" max="11" width="4.26953125" style="117" customWidth="1"/>
    <col min="12" max="12" width="7.54296875" style="117" customWidth="1"/>
    <col min="13" max="13" width="7" style="591" customWidth="1"/>
    <col min="14" max="14" width="7.453125" style="591" customWidth="1"/>
    <col min="15" max="15" width="10.26953125" style="469" customWidth="1"/>
    <col min="16" max="16" width="6" style="117" customWidth="1"/>
    <col min="17" max="17" width="9.7265625" style="117" customWidth="1"/>
    <col min="18" max="18" width="10.7265625" style="117" customWidth="1"/>
    <col min="19" max="19" width="7.1796875" style="117" customWidth="1"/>
    <col min="20" max="22" width="7.1796875" style="117" hidden="1" customWidth="1"/>
    <col min="23" max="23" width="5" style="117" hidden="1" customWidth="1"/>
    <col min="24" max="24" width="5.26953125" style="117" hidden="1" customWidth="1"/>
    <col min="25" max="26" width="7.26953125" style="117" customWidth="1"/>
    <col min="27" max="28" width="13.81640625" style="188" customWidth="1"/>
    <col min="29" max="30" width="12.453125" style="117" customWidth="1"/>
    <col min="31" max="31" width="12.1796875" style="117" customWidth="1"/>
    <col min="32" max="32" width="28.1796875" style="117" customWidth="1"/>
    <col min="33" max="33" width="16.7265625" customWidth="1"/>
    <col min="34" max="34" width="9.1796875" customWidth="1"/>
    <col min="35" max="35" width="15.26953125" customWidth="1"/>
    <col min="36" max="36" width="9.1796875" customWidth="1"/>
  </cols>
  <sheetData>
    <row r="1" spans="1:32" s="125" customFormat="1" ht="19" x14ac:dyDescent="0.3">
      <c r="A1" s="696" t="s">
        <v>837</v>
      </c>
      <c r="B1" s="696"/>
      <c r="C1" s="696"/>
      <c r="D1" s="622"/>
      <c r="E1" s="622"/>
      <c r="F1" s="622"/>
      <c r="G1" s="622"/>
      <c r="H1" s="622"/>
      <c r="I1" s="622"/>
      <c r="J1" s="622"/>
      <c r="K1" s="622"/>
      <c r="L1" s="622"/>
      <c r="M1" s="622"/>
      <c r="N1" s="622"/>
      <c r="O1" s="622"/>
      <c r="P1" s="622"/>
      <c r="Q1" s="622"/>
      <c r="R1" s="622"/>
      <c r="S1" s="622"/>
      <c r="T1" s="622"/>
      <c r="U1" s="622"/>
      <c r="V1" s="622"/>
      <c r="W1" s="622"/>
      <c r="X1" s="622"/>
      <c r="Y1" s="622"/>
      <c r="Z1" s="622"/>
      <c r="AA1" s="725" t="s">
        <v>826</v>
      </c>
      <c r="AB1" s="725"/>
      <c r="AC1" s="725"/>
      <c r="AD1" s="725"/>
      <c r="AE1" s="725"/>
      <c r="AF1" s="623"/>
    </row>
    <row r="2" spans="1:32" s="125" customFormat="1" ht="18" x14ac:dyDescent="0.3">
      <c r="A2" s="695"/>
      <c r="B2" s="695"/>
      <c r="C2" s="695"/>
      <c r="D2" s="622"/>
      <c r="E2" s="622"/>
      <c r="F2" s="622"/>
      <c r="G2" s="622"/>
      <c r="H2" s="622"/>
      <c r="I2" s="622"/>
      <c r="J2" s="622"/>
      <c r="K2" s="622"/>
      <c r="L2" s="622"/>
      <c r="M2" s="622"/>
      <c r="N2" s="622"/>
      <c r="O2" s="622"/>
      <c r="P2" s="622"/>
      <c r="Q2" s="622"/>
      <c r="R2" s="622"/>
      <c r="S2" s="622"/>
      <c r="T2" s="622"/>
      <c r="U2" s="622"/>
      <c r="V2" s="622"/>
      <c r="W2" s="622"/>
      <c r="X2" s="622"/>
      <c r="Y2" s="622"/>
      <c r="Z2" s="622"/>
      <c r="AA2" s="622"/>
      <c r="AB2" s="622"/>
      <c r="AC2" s="622"/>
      <c r="AD2" s="622"/>
      <c r="AE2" s="622"/>
      <c r="AF2" s="622"/>
    </row>
    <row r="3" spans="1:32" s="125" customFormat="1" ht="17.5" x14ac:dyDescent="0.3">
      <c r="A3" s="696" t="s">
        <v>825</v>
      </c>
      <c r="B3" s="696"/>
      <c r="C3" s="696"/>
      <c r="D3" s="622"/>
      <c r="E3" s="622"/>
      <c r="F3" s="622"/>
      <c r="G3" s="622"/>
      <c r="H3" s="622"/>
      <c r="I3" s="622"/>
      <c r="J3" s="622"/>
      <c r="K3" s="622"/>
      <c r="L3" s="622"/>
      <c r="M3" s="622"/>
      <c r="N3" s="622"/>
      <c r="O3" s="622"/>
      <c r="P3" s="622"/>
      <c r="Q3" s="622"/>
      <c r="R3" s="622"/>
      <c r="S3" s="622"/>
      <c r="T3" s="622"/>
      <c r="U3" s="622"/>
      <c r="V3" s="622"/>
      <c r="W3" s="622"/>
      <c r="X3" s="622"/>
      <c r="Y3" s="622"/>
      <c r="Z3" s="622"/>
      <c r="AA3" s="622"/>
      <c r="AB3" s="622"/>
      <c r="AC3" s="622"/>
      <c r="AD3" s="622"/>
      <c r="AE3" s="622"/>
      <c r="AF3" s="622"/>
    </row>
    <row r="4" spans="1:32" s="125" customFormat="1" ht="17.5" x14ac:dyDescent="0.3">
      <c r="A4" s="696" t="s">
        <v>829</v>
      </c>
      <c r="B4" s="696"/>
      <c r="C4" s="696"/>
      <c r="D4" s="696"/>
      <c r="E4" s="696"/>
      <c r="F4" s="696"/>
      <c r="G4" s="696"/>
      <c r="H4" s="696"/>
      <c r="I4" s="696"/>
      <c r="J4" s="696"/>
      <c r="K4" s="696"/>
      <c r="L4" s="696"/>
      <c r="M4" s="696"/>
      <c r="N4" s="696"/>
      <c r="O4" s="696"/>
      <c r="P4" s="696"/>
      <c r="Q4" s="696"/>
      <c r="R4" s="696"/>
      <c r="S4" s="696"/>
      <c r="T4" s="696"/>
      <c r="U4" s="696"/>
      <c r="V4" s="696"/>
      <c r="W4" s="696"/>
      <c r="X4" s="696"/>
      <c r="Y4" s="696"/>
      <c r="Z4" s="696"/>
      <c r="AA4" s="696"/>
      <c r="AB4" s="696"/>
      <c r="AC4" s="696"/>
      <c r="AD4" s="696"/>
      <c r="AE4" s="696"/>
      <c r="AF4" s="696"/>
    </row>
    <row r="5" spans="1:32" s="125" customFormat="1" ht="18" x14ac:dyDescent="0.3">
      <c r="A5" s="724" t="s">
        <v>838</v>
      </c>
      <c r="B5" s="724"/>
      <c r="C5" s="724"/>
      <c r="D5" s="724"/>
      <c r="E5" s="724"/>
      <c r="F5" s="724"/>
      <c r="G5" s="724"/>
      <c r="H5" s="724"/>
      <c r="I5" s="724"/>
      <c r="J5" s="724"/>
      <c r="K5" s="724"/>
      <c r="L5" s="724"/>
      <c r="M5" s="724"/>
      <c r="N5" s="724"/>
      <c r="O5" s="724"/>
      <c r="P5" s="724"/>
      <c r="Q5" s="724"/>
      <c r="R5" s="724"/>
      <c r="S5" s="724"/>
      <c r="T5" s="724"/>
      <c r="U5" s="724"/>
      <c r="V5" s="724"/>
      <c r="W5" s="724"/>
      <c r="X5" s="724"/>
      <c r="Y5" s="724"/>
      <c r="Z5" s="724"/>
      <c r="AA5" s="724"/>
      <c r="AB5" s="724"/>
      <c r="AC5" s="724"/>
      <c r="AD5" s="724"/>
      <c r="AE5" s="724"/>
      <c r="AF5" s="724"/>
    </row>
    <row r="6" spans="1:32" s="125" customFormat="1" x14ac:dyDescent="0.3">
      <c r="A6" s="701"/>
      <c r="B6" s="702"/>
      <c r="C6" s="701"/>
      <c r="D6" s="701"/>
      <c r="E6" s="701"/>
      <c r="F6" s="701"/>
      <c r="G6" s="701"/>
      <c r="H6" s="701"/>
      <c r="I6" s="701"/>
      <c r="J6" s="701"/>
      <c r="K6" s="701"/>
      <c r="L6" s="701"/>
      <c r="M6" s="701"/>
      <c r="N6" s="701"/>
      <c r="O6" s="703"/>
      <c r="P6" s="701"/>
      <c r="Q6" s="701"/>
      <c r="R6" s="701"/>
      <c r="S6" s="701"/>
      <c r="T6" s="701"/>
      <c r="U6" s="701"/>
      <c r="V6" s="701"/>
      <c r="W6" s="701"/>
      <c r="X6" s="701"/>
      <c r="Y6" s="701"/>
      <c r="Z6" s="701"/>
      <c r="AA6" s="701"/>
      <c r="AB6" s="701"/>
      <c r="AC6" s="701"/>
      <c r="AD6" s="701"/>
      <c r="AE6" s="701"/>
      <c r="AF6" s="701"/>
    </row>
    <row r="7" spans="1:32" ht="37.5" customHeight="1" x14ac:dyDescent="0.35">
      <c r="A7" s="700" t="s">
        <v>3</v>
      </c>
      <c r="B7" s="699" t="s">
        <v>4</v>
      </c>
      <c r="C7" s="700" t="s">
        <v>5</v>
      </c>
      <c r="D7" s="698" t="s">
        <v>189</v>
      </c>
      <c r="E7" s="699" t="s">
        <v>763</v>
      </c>
      <c r="F7" s="700" t="s">
        <v>7</v>
      </c>
      <c r="G7" s="705" t="s">
        <v>785</v>
      </c>
      <c r="H7" s="705"/>
      <c r="I7" s="705"/>
      <c r="J7" s="705"/>
      <c r="K7" s="705"/>
      <c r="L7" s="705"/>
      <c r="M7" s="706" t="s">
        <v>90</v>
      </c>
      <c r="N7" s="707" t="s">
        <v>88</v>
      </c>
      <c r="O7" s="710" t="s">
        <v>783</v>
      </c>
      <c r="P7" s="720" t="s">
        <v>782</v>
      </c>
      <c r="Q7" s="721"/>
      <c r="R7" s="700" t="s">
        <v>15</v>
      </c>
      <c r="S7" s="700" t="s">
        <v>16</v>
      </c>
      <c r="T7" s="719" t="s">
        <v>766</v>
      </c>
      <c r="U7" s="719"/>
      <c r="V7" s="719"/>
      <c r="W7" s="704" t="s">
        <v>149</v>
      </c>
      <c r="X7" s="704" t="s">
        <v>93</v>
      </c>
      <c r="Y7" s="700" t="s">
        <v>794</v>
      </c>
      <c r="Z7" s="716" t="s">
        <v>784</v>
      </c>
      <c r="AA7" s="713" t="s">
        <v>788</v>
      </c>
      <c r="AB7" s="714"/>
      <c r="AC7" s="714"/>
      <c r="AD7" s="714"/>
      <c r="AE7" s="715"/>
      <c r="AF7" s="700" t="s">
        <v>17</v>
      </c>
    </row>
    <row r="8" spans="1:32" ht="15.65" customHeight="1" x14ac:dyDescent="0.35">
      <c r="A8" s="700"/>
      <c r="B8" s="699"/>
      <c r="C8" s="700"/>
      <c r="D8" s="698"/>
      <c r="E8" s="699"/>
      <c r="F8" s="700"/>
      <c r="G8" s="708" t="s">
        <v>792</v>
      </c>
      <c r="H8" s="708" t="s">
        <v>179</v>
      </c>
      <c r="I8" s="708" t="s">
        <v>177</v>
      </c>
      <c r="J8" s="708" t="s">
        <v>176</v>
      </c>
      <c r="K8" s="708" t="s">
        <v>798</v>
      </c>
      <c r="L8" s="708" t="s">
        <v>790</v>
      </c>
      <c r="M8" s="706"/>
      <c r="N8" s="707"/>
      <c r="O8" s="710"/>
      <c r="P8" s="722"/>
      <c r="Q8" s="723"/>
      <c r="R8" s="700"/>
      <c r="S8" s="700"/>
      <c r="T8" s="587"/>
      <c r="U8" s="587"/>
      <c r="V8" s="587"/>
      <c r="W8" s="704"/>
      <c r="X8" s="704"/>
      <c r="Y8" s="700"/>
      <c r="Z8" s="717"/>
      <c r="AA8" s="711" t="s">
        <v>24</v>
      </c>
      <c r="AB8" s="711" t="s">
        <v>787</v>
      </c>
      <c r="AC8" s="713" t="s">
        <v>786</v>
      </c>
      <c r="AD8" s="714"/>
      <c r="AE8" s="715"/>
      <c r="AF8" s="700"/>
    </row>
    <row r="9" spans="1:32" ht="60.75" customHeight="1" x14ac:dyDescent="0.35">
      <c r="A9" s="700"/>
      <c r="B9" s="699"/>
      <c r="C9" s="700"/>
      <c r="D9" s="698"/>
      <c r="E9" s="699"/>
      <c r="F9" s="700"/>
      <c r="G9" s="709"/>
      <c r="H9" s="709"/>
      <c r="I9" s="709"/>
      <c r="J9" s="709"/>
      <c r="K9" s="709"/>
      <c r="L9" s="709"/>
      <c r="M9" s="706"/>
      <c r="N9" s="707"/>
      <c r="O9" s="710"/>
      <c r="P9" s="185" t="s">
        <v>22</v>
      </c>
      <c r="Q9" s="586" t="s">
        <v>23</v>
      </c>
      <c r="R9" s="700"/>
      <c r="S9" s="700"/>
      <c r="T9" s="587" t="s">
        <v>764</v>
      </c>
      <c r="U9" s="587" t="s">
        <v>765</v>
      </c>
      <c r="V9" s="587" t="s">
        <v>149</v>
      </c>
      <c r="W9" s="704"/>
      <c r="X9" s="704"/>
      <c r="Y9" s="700"/>
      <c r="Z9" s="718"/>
      <c r="AA9" s="712"/>
      <c r="AB9" s="712"/>
      <c r="AC9" s="598" t="s">
        <v>25</v>
      </c>
      <c r="AD9" s="598" t="s">
        <v>820</v>
      </c>
      <c r="AE9" s="598" t="s">
        <v>821</v>
      </c>
      <c r="AF9" s="700"/>
    </row>
    <row r="10" spans="1:32" s="282" customFormat="1" x14ac:dyDescent="0.35">
      <c r="A10" s="154"/>
      <c r="B10" s="274" t="s">
        <v>28</v>
      </c>
      <c r="C10" s="154">
        <v>1</v>
      </c>
      <c r="D10" s="154"/>
      <c r="E10" s="154"/>
      <c r="F10" s="154">
        <v>3</v>
      </c>
      <c r="G10" s="154">
        <v>4</v>
      </c>
      <c r="H10" s="154">
        <v>6</v>
      </c>
      <c r="I10" s="154">
        <v>8</v>
      </c>
      <c r="J10" s="154">
        <v>10</v>
      </c>
      <c r="K10" s="154">
        <v>10</v>
      </c>
      <c r="L10" s="154">
        <v>11</v>
      </c>
      <c r="M10" s="590"/>
      <c r="N10" s="590"/>
      <c r="O10" s="154">
        <v>16</v>
      </c>
      <c r="P10" s="154">
        <v>17</v>
      </c>
      <c r="Q10" s="154">
        <v>18</v>
      </c>
      <c r="R10" s="154">
        <v>19</v>
      </c>
      <c r="S10" s="154">
        <v>20</v>
      </c>
      <c r="T10" s="588"/>
      <c r="U10" s="588"/>
      <c r="V10" s="588"/>
      <c r="W10" s="154"/>
      <c r="X10" s="154"/>
      <c r="Y10" s="154"/>
      <c r="Z10" s="154"/>
      <c r="AA10" s="244">
        <v>21</v>
      </c>
      <c r="AB10" s="244"/>
      <c r="AC10" s="154">
        <v>22</v>
      </c>
      <c r="AD10" s="154">
        <v>23</v>
      </c>
      <c r="AE10" s="154">
        <v>24</v>
      </c>
      <c r="AF10" s="154">
        <v>25</v>
      </c>
    </row>
    <row r="11" spans="1:32" s="609" customFormat="1" ht="30.65" customHeight="1" x14ac:dyDescent="0.15">
      <c r="A11" s="418">
        <v>1</v>
      </c>
      <c r="B11" s="613" t="s">
        <v>832</v>
      </c>
      <c r="C11" s="614">
        <v>24938</v>
      </c>
      <c r="D11" s="599">
        <f t="shared" ref="D11:D30" si="0">DATE(YEAR(C11),MONTH(C11)+1,1)</f>
        <v>24959</v>
      </c>
      <c r="E11" s="599" t="s">
        <v>781</v>
      </c>
      <c r="F11" s="615" t="s">
        <v>835</v>
      </c>
      <c r="G11" s="601">
        <v>6.1</v>
      </c>
      <c r="H11" s="418">
        <v>0.2</v>
      </c>
      <c r="I11" s="600"/>
      <c r="J11" s="600"/>
      <c r="K11" s="600"/>
      <c r="L11" s="600">
        <v>0.55000000000000004</v>
      </c>
      <c r="M11" s="601">
        <f>G11+H11+I11*G11+(G11+H11+I11*G11)*J11+(G11+H11+I11*G11)*K11+(G11+H11+I11*G11)*L11</f>
        <v>9.7650000000000006</v>
      </c>
      <c r="N11" s="602">
        <v>2340000</v>
      </c>
      <c r="O11" s="610">
        <f t="shared" ref="O11:O30" si="1">M11*N11</f>
        <v>22850100</v>
      </c>
      <c r="P11" s="418" t="s">
        <v>830</v>
      </c>
      <c r="Q11" s="418"/>
      <c r="R11" s="599">
        <v>45778</v>
      </c>
      <c r="S11" s="418" t="str">
        <f t="shared" ref="S11:S30" si="2">DATEDIF(D11,R11,"y")&amp;"t"&amp;DATEDIF(D11,R11,"ym")&amp;"th"</f>
        <v>57t0th</v>
      </c>
      <c r="T11" s="599">
        <v>44197</v>
      </c>
      <c r="U11" s="418" t="str">
        <f t="shared" ref="U11:U30" si="3">DATEDIF(D11,T11,"y")&amp;"t"&amp;DATEDIF(D11,T11,"ym")&amp;"th"</f>
        <v>52t8th</v>
      </c>
      <c r="V11" s="418">
        <f t="shared" ref="V11:V30" si="4">VALUE(LEFT(U11,2)*12)+VALUE(MID(U11,4,LEN(U11)-5))</f>
        <v>632</v>
      </c>
      <c r="W11" s="599" t="str">
        <f t="shared" ref="W11:W16" si="5">IF(E11="Nam",VLOOKUP(V11,$U$35:$V$43,2,TRUE),IF(E11="Nữ",VLOOKUP(V11,$U$46:$V$61,2,TRUE)))</f>
        <v>62t0th</v>
      </c>
      <c r="X11" s="611" t="str">
        <f t="shared" ref="X11:X30" si="6">QUOTIENT((VALUE(LEFT(W11,2))*12+VALUE(MID(W11,4,LEN(W11)-5))-(VALUE(LEFT(S11,2))*12+VALUE(MID(S11,4,LEN(S11)-5)))),12)&amp;"n"&amp;MOD(VALUE(LEFT(W11,2))*12+VALUE(MID(W11,4,LEN(W11)-5))-(VALUE(LEFT(S11,2))*12+VALUE(MID(S11,4,LEN(S11)-5))),12)&amp;"t"</f>
        <v>5n0t</v>
      </c>
      <c r="Y11" s="599">
        <v>45691</v>
      </c>
      <c r="Z11" s="611">
        <f t="shared" ref="Z11:Z30" si="7">(VALUE(LEFT(W11,2))*12+VALUE(MID(W11,4,LEN(W11)-5))-(VALUE(LEFT(S11,2))*12+VALUE(MID(S11,4,LEN(S11)-5))))</f>
        <v>60</v>
      </c>
      <c r="AA11" s="612">
        <f t="shared" ref="AA11:AA30" si="8">SUM(AB11:AE11)</f>
        <v>2147909400</v>
      </c>
      <c r="AB11" s="612">
        <f>ROUND(IF(Z11&gt;60,60*O11*0.9,Z11*O11),0)</f>
        <v>1371006000</v>
      </c>
      <c r="AC11" s="612">
        <f>ROUND(IF(AND(Z11&gt;60,Z11&lt;=120),4*O11*(QUOTIENT(Z11,12)+IF(AND(MOD(Z11,12)&lt;7,MOD(Z11,12)&gt;0),1/2,IF(MOD(Z11,12)&gt;6,1,0))),IF(AND(Z11&gt;=24,Z11&lt;=60),5*O11*(QUOTIENT(Z11,12)+IF(AND(MOD(Z11,12)&lt;7,MOD(Z11,12)&gt;0),1/2,IF(MOD(Z11,12)&gt;6,1,0))),0)),0)</f>
        <v>571252500</v>
      </c>
      <c r="AD11" s="612">
        <f>ROUND(5*O11,0)</f>
        <v>114250500</v>
      </c>
      <c r="AE11" s="612">
        <f>ROUND(((VALUE(LEFT(P11,2)-20))+IF((VALUE(MID(P11,4,2)))&gt;6,1,IF((VALUE(MID(P11,4,2)))&gt;0,0.5,0)))*0.5*O11,0)</f>
        <v>91400400</v>
      </c>
      <c r="AF11" s="613"/>
    </row>
    <row r="12" spans="1:32" s="609" customFormat="1" ht="30.65" customHeight="1" x14ac:dyDescent="0.15">
      <c r="A12" s="418">
        <v>3</v>
      </c>
      <c r="B12" s="613" t="s">
        <v>834</v>
      </c>
      <c r="C12" s="614">
        <v>27020</v>
      </c>
      <c r="D12" s="599">
        <f t="shared" si="0"/>
        <v>27030</v>
      </c>
      <c r="E12" s="599" t="s">
        <v>791</v>
      </c>
      <c r="F12" s="615" t="s">
        <v>836</v>
      </c>
      <c r="G12" s="601">
        <v>6.1</v>
      </c>
      <c r="H12" s="418">
        <v>0.5</v>
      </c>
      <c r="I12" s="600"/>
      <c r="J12" s="600"/>
      <c r="K12" s="600"/>
      <c r="L12" s="600">
        <v>0.55000000000000004</v>
      </c>
      <c r="M12" s="601">
        <f t="shared" ref="M12:M30" si="9">G12+H12+I12*G12+(G12+H12+I12*G12)*J12+(G12+H12+I12*G12)*K12+(G12+H12+I12*G12)*L12</f>
        <v>10.23</v>
      </c>
      <c r="N12" s="602">
        <v>2340000</v>
      </c>
      <c r="O12" s="610">
        <f t="shared" si="1"/>
        <v>23938200</v>
      </c>
      <c r="P12" s="418" t="s">
        <v>831</v>
      </c>
      <c r="Q12" s="418"/>
      <c r="R12" s="599">
        <v>45778</v>
      </c>
      <c r="S12" s="418" t="str">
        <f t="shared" si="2"/>
        <v>51t4th</v>
      </c>
      <c r="T12" s="599">
        <v>44197</v>
      </c>
      <c r="U12" s="418" t="str">
        <f t="shared" si="3"/>
        <v>47t0th</v>
      </c>
      <c r="V12" s="418">
        <f t="shared" si="4"/>
        <v>564</v>
      </c>
      <c r="W12" s="599" t="str">
        <f t="shared" si="5"/>
        <v>59t0th</v>
      </c>
      <c r="X12" s="611" t="str">
        <f t="shared" si="6"/>
        <v>7n8t</v>
      </c>
      <c r="Y12" s="599">
        <v>45717</v>
      </c>
      <c r="Z12" s="611">
        <f t="shared" si="7"/>
        <v>92</v>
      </c>
      <c r="AA12" s="612">
        <f t="shared" si="8"/>
        <v>2286098100</v>
      </c>
      <c r="AB12" s="612">
        <f t="shared" ref="AB12:AB30" si="10">ROUND(IF(Z12&gt;60,60*O12*0.9,Z12*O12),0)</f>
        <v>1292662800</v>
      </c>
      <c r="AC12" s="612">
        <f t="shared" ref="AC12" si="11">ROUND(IF(AND(Z12&gt;60,Z12&lt;=120),4*O12*(QUOTIENT(Z12,12)+IF(AND(MOD(Z12,12)&lt;7,MOD(Z12,12)&gt;0),1/2,IF(MOD(Z12,12)&gt;6,1,0))),IF(AND(Z12&gt;=24,Z12&lt;=60),5*O12*(QUOTIENT(Z12,12)+IF(AND(MOD(Z12,12)&lt;7,MOD(Z12,12)&gt;0),1/2,IF(MOD(Z12,12)&gt;6,1,0))),0)),0)</f>
        <v>766022400</v>
      </c>
      <c r="AD12" s="612">
        <f t="shared" ref="AD12:AD30" si="12">ROUND(5*O12,0)</f>
        <v>119691000</v>
      </c>
      <c r="AE12" s="612">
        <f t="shared" ref="AE12:AE30" si="13">ROUND(((VALUE(LEFT(P12,2)-20))+IF((VALUE(MID(P12,4,2)))&gt;6,1,IF((VALUE(MID(P12,4,2)))&gt;0,0.5,0)))*0.5*O12,0)</f>
        <v>107721900</v>
      </c>
      <c r="AF12" s="613">
        <f>(VALUE(LEFT(P12,2))-20)</f>
        <v>9</v>
      </c>
    </row>
    <row r="13" spans="1:32" s="609" customFormat="1" ht="30.65" customHeight="1" x14ac:dyDescent="0.15">
      <c r="A13" s="418">
        <v>5</v>
      </c>
      <c r="B13" s="613"/>
      <c r="C13" s="614">
        <v>24207</v>
      </c>
      <c r="D13" s="599">
        <f t="shared" si="0"/>
        <v>24228</v>
      </c>
      <c r="E13" s="599" t="s">
        <v>781</v>
      </c>
      <c r="F13" s="615"/>
      <c r="G13" s="601"/>
      <c r="H13" s="418"/>
      <c r="I13" s="600"/>
      <c r="J13" s="600"/>
      <c r="K13" s="600"/>
      <c r="L13" s="600"/>
      <c r="M13" s="601">
        <f t="shared" si="9"/>
        <v>0</v>
      </c>
      <c r="N13" s="602">
        <v>2340000</v>
      </c>
      <c r="O13" s="610">
        <f t="shared" si="1"/>
        <v>0</v>
      </c>
      <c r="P13" s="418" t="s">
        <v>816</v>
      </c>
      <c r="Q13" s="418"/>
      <c r="R13" s="599">
        <v>45748</v>
      </c>
      <c r="S13" s="418" t="str">
        <f t="shared" si="2"/>
        <v>58t11th</v>
      </c>
      <c r="T13" s="599">
        <v>44197</v>
      </c>
      <c r="U13" s="418" t="str">
        <f t="shared" si="3"/>
        <v>54t8th</v>
      </c>
      <c r="V13" s="418">
        <f t="shared" si="4"/>
        <v>656</v>
      </c>
      <c r="W13" s="599" t="str">
        <f t="shared" si="5"/>
        <v>62t0th</v>
      </c>
      <c r="X13" s="611" t="str">
        <f t="shared" si="6"/>
        <v>3n1t</v>
      </c>
      <c r="Y13" s="599">
        <v>45706</v>
      </c>
      <c r="Z13" s="611">
        <f t="shared" si="7"/>
        <v>37</v>
      </c>
      <c r="AA13" s="612">
        <f t="shared" si="8"/>
        <v>0</v>
      </c>
      <c r="AB13" s="612">
        <f t="shared" si="10"/>
        <v>0</v>
      </c>
      <c r="AC13" s="612">
        <f t="shared" ref="AC13:AC30" si="14">ROUND(IF(AND(Z13&gt;60,Z13&lt;=120),4*O13*(QUOTIENT(Z13,12)+IF(AND(MOD(Z13,12)&lt;7,MOD(Z13,12)&gt;0),1/2,IF(MOD(Z13,12)&gt;6,1,0))),IF(AND(Z13&gt;=24,Z13&lt;=60),5*O13*(QUOTIENT(Z13,12)+IF(AND(MOD(Z13,12)&lt;7,MOD(Z13,12)&gt;0),1/2,IF(MOD(Z13,12)&gt;6,1,0))),0)),0)</f>
        <v>0</v>
      </c>
      <c r="AD13" s="612">
        <f t="shared" si="12"/>
        <v>0</v>
      </c>
      <c r="AE13" s="612">
        <f t="shared" si="13"/>
        <v>0</v>
      </c>
      <c r="AF13" s="613"/>
    </row>
    <row r="14" spans="1:32" s="609" customFormat="1" ht="30.65" customHeight="1" x14ac:dyDescent="0.15">
      <c r="A14" s="418">
        <v>6</v>
      </c>
      <c r="B14" s="613"/>
      <c r="C14" s="614">
        <v>24685</v>
      </c>
      <c r="D14" s="599">
        <f t="shared" si="0"/>
        <v>24716</v>
      </c>
      <c r="E14" s="599" t="s">
        <v>781</v>
      </c>
      <c r="F14" s="615"/>
      <c r="G14" s="601"/>
      <c r="H14" s="418"/>
      <c r="I14" s="600"/>
      <c r="J14" s="600"/>
      <c r="K14" s="600"/>
      <c r="L14" s="600"/>
      <c r="M14" s="601">
        <f t="shared" si="9"/>
        <v>0</v>
      </c>
      <c r="N14" s="602">
        <v>2340000</v>
      </c>
      <c r="O14" s="610">
        <f t="shared" si="1"/>
        <v>0</v>
      </c>
      <c r="P14" s="418" t="s">
        <v>808</v>
      </c>
      <c r="Q14" s="418"/>
      <c r="R14" s="599">
        <v>45748</v>
      </c>
      <c r="S14" s="418" t="str">
        <f t="shared" si="2"/>
        <v>57t7th</v>
      </c>
      <c r="T14" s="599">
        <v>44197</v>
      </c>
      <c r="U14" s="418" t="str">
        <f t="shared" si="3"/>
        <v>53t4th</v>
      </c>
      <c r="V14" s="418">
        <f t="shared" si="4"/>
        <v>640</v>
      </c>
      <c r="W14" s="599" t="str">
        <f t="shared" si="5"/>
        <v>62t0th</v>
      </c>
      <c r="X14" s="611" t="str">
        <f t="shared" si="6"/>
        <v>4n5t</v>
      </c>
      <c r="Y14" s="599">
        <v>45706</v>
      </c>
      <c r="Z14" s="611">
        <f t="shared" si="7"/>
        <v>53</v>
      </c>
      <c r="AA14" s="612">
        <f t="shared" si="8"/>
        <v>0</v>
      </c>
      <c r="AB14" s="612">
        <f t="shared" si="10"/>
        <v>0</v>
      </c>
      <c r="AC14" s="612">
        <f t="shared" ref="AC14" si="15">ROUND(IF(AND(Z14&gt;60,Z14&lt;=120),4*O14*(QUOTIENT(Z14,12)+IF(AND(MOD(Z14,12)&lt;7,MOD(Z14,12)&gt;0),1/2,IF(MOD(Z14,12)&gt;6,1,0))),IF(AND(Z14&gt;=24,Z14&lt;=60),5*O14*(QUOTIENT(Z14,12)+IF(AND(MOD(Z14,12)&lt;7,MOD(Z14,12)&gt;0),1/2,IF(MOD(Z14,12)&gt;6,1,0))),0)),0)</f>
        <v>0</v>
      </c>
      <c r="AD14" s="612">
        <f t="shared" ref="AD14" si="16">ROUND(5*O14,0)</f>
        <v>0</v>
      </c>
      <c r="AE14" s="612">
        <f t="shared" ref="AE14" si="17">ROUND(((VALUE(LEFT(P14,2)-20))+IF((VALUE(MID(P14,4,2)))&gt;6,1,IF((VALUE(MID(P14,4,2)))&gt;0,0.5,0)))*0.5*O14,0)</f>
        <v>0</v>
      </c>
      <c r="AF14" s="613"/>
    </row>
    <row r="15" spans="1:32" s="609" customFormat="1" ht="30.65" customHeight="1" x14ac:dyDescent="0.15">
      <c r="A15" s="418">
        <v>7</v>
      </c>
      <c r="B15" s="613"/>
      <c r="C15" s="614">
        <v>26365</v>
      </c>
      <c r="D15" s="599">
        <f t="shared" si="0"/>
        <v>26390</v>
      </c>
      <c r="E15" s="599" t="s">
        <v>781</v>
      </c>
      <c r="F15" s="615"/>
      <c r="G15" s="601"/>
      <c r="H15" s="418"/>
      <c r="I15" s="600"/>
      <c r="J15" s="600"/>
      <c r="K15" s="600"/>
      <c r="L15" s="600"/>
      <c r="M15" s="601">
        <f t="shared" si="9"/>
        <v>0</v>
      </c>
      <c r="N15" s="602">
        <v>2340000</v>
      </c>
      <c r="O15" s="610">
        <f t="shared" si="1"/>
        <v>0</v>
      </c>
      <c r="P15" s="418" t="s">
        <v>809</v>
      </c>
      <c r="Q15" s="621"/>
      <c r="R15" s="599">
        <v>45748</v>
      </c>
      <c r="S15" s="418" t="str">
        <f t="shared" si="2"/>
        <v>53t0th</v>
      </c>
      <c r="T15" s="599">
        <v>44197</v>
      </c>
      <c r="U15" s="418" t="str">
        <f t="shared" si="3"/>
        <v>48t9th</v>
      </c>
      <c r="V15" s="418">
        <f t="shared" si="4"/>
        <v>585</v>
      </c>
      <c r="W15" s="599" t="str">
        <f t="shared" si="5"/>
        <v>62t0th</v>
      </c>
      <c r="X15" s="611" t="str">
        <f t="shared" si="6"/>
        <v>9n0t</v>
      </c>
      <c r="Y15" s="599">
        <v>45706</v>
      </c>
      <c r="Z15" s="611">
        <f t="shared" si="7"/>
        <v>108</v>
      </c>
      <c r="AA15" s="612">
        <f t="shared" si="8"/>
        <v>0</v>
      </c>
      <c r="AB15" s="612">
        <f t="shared" si="10"/>
        <v>0</v>
      </c>
      <c r="AC15" s="612">
        <f t="shared" si="14"/>
        <v>0</v>
      </c>
      <c r="AD15" s="612">
        <f t="shared" si="12"/>
        <v>0</v>
      </c>
      <c r="AE15" s="612">
        <f t="shared" si="13"/>
        <v>0</v>
      </c>
      <c r="AF15" s="613"/>
    </row>
    <row r="16" spans="1:32" s="609" customFormat="1" ht="30.65" customHeight="1" x14ac:dyDescent="0.15">
      <c r="A16" s="418">
        <v>8</v>
      </c>
      <c r="B16" s="613"/>
      <c r="C16" s="614">
        <v>24169</v>
      </c>
      <c r="D16" s="599">
        <f t="shared" si="0"/>
        <v>24198</v>
      </c>
      <c r="E16" s="599" t="s">
        <v>781</v>
      </c>
      <c r="F16" s="615"/>
      <c r="G16" s="601"/>
      <c r="H16" s="418"/>
      <c r="I16" s="600"/>
      <c r="J16" s="600"/>
      <c r="K16" s="600"/>
      <c r="L16" s="600"/>
      <c r="M16" s="601">
        <f t="shared" si="9"/>
        <v>0</v>
      </c>
      <c r="N16" s="602">
        <v>2340000</v>
      </c>
      <c r="O16" s="610">
        <f t="shared" si="1"/>
        <v>0</v>
      </c>
      <c r="P16" s="418" t="s">
        <v>805</v>
      </c>
      <c r="Q16" s="418"/>
      <c r="R16" s="599">
        <v>45748</v>
      </c>
      <c r="S16" s="418" t="str">
        <f t="shared" si="2"/>
        <v>59t0th</v>
      </c>
      <c r="T16" s="599">
        <v>44197</v>
      </c>
      <c r="U16" s="418" t="str">
        <f t="shared" si="3"/>
        <v>54t9th</v>
      </c>
      <c r="V16" s="418">
        <f t="shared" si="4"/>
        <v>657</v>
      </c>
      <c r="W16" s="599" t="str">
        <f t="shared" si="5"/>
        <v>61t9th</v>
      </c>
      <c r="X16" s="611" t="str">
        <f t="shared" si="6"/>
        <v>2n9t</v>
      </c>
      <c r="Y16" s="599">
        <v>45706</v>
      </c>
      <c r="Z16" s="611">
        <f t="shared" si="7"/>
        <v>33</v>
      </c>
      <c r="AA16" s="612">
        <f t="shared" si="8"/>
        <v>0</v>
      </c>
      <c r="AB16" s="612">
        <f t="shared" si="10"/>
        <v>0</v>
      </c>
      <c r="AC16" s="612">
        <f t="shared" si="14"/>
        <v>0</v>
      </c>
      <c r="AD16" s="612">
        <f t="shared" si="12"/>
        <v>0</v>
      </c>
      <c r="AE16" s="612">
        <f t="shared" si="13"/>
        <v>0</v>
      </c>
      <c r="AF16" s="613"/>
    </row>
    <row r="17" spans="1:34" s="609" customFormat="1" ht="30.65" customHeight="1" x14ac:dyDescent="0.15">
      <c r="A17" s="418">
        <v>9</v>
      </c>
      <c r="B17" s="613"/>
      <c r="C17" s="614">
        <v>26705</v>
      </c>
      <c r="D17" s="599">
        <f t="shared" si="0"/>
        <v>26724</v>
      </c>
      <c r="E17" s="599" t="s">
        <v>781</v>
      </c>
      <c r="F17" s="615"/>
      <c r="G17" s="601"/>
      <c r="H17" s="418"/>
      <c r="I17" s="600"/>
      <c r="J17" s="600"/>
      <c r="K17" s="600"/>
      <c r="L17" s="600"/>
      <c r="M17" s="601">
        <f t="shared" si="9"/>
        <v>0</v>
      </c>
      <c r="N17" s="602">
        <v>2340000</v>
      </c>
      <c r="O17" s="610">
        <f t="shared" si="1"/>
        <v>0</v>
      </c>
      <c r="P17" s="418" t="s">
        <v>806</v>
      </c>
      <c r="Q17" s="418" t="s">
        <v>819</v>
      </c>
      <c r="R17" s="599">
        <v>45748</v>
      </c>
      <c r="S17" s="418" t="str">
        <f t="shared" si="2"/>
        <v>52t1th</v>
      </c>
      <c r="T17" s="599">
        <v>44197</v>
      </c>
      <c r="U17" s="418" t="str">
        <f t="shared" si="3"/>
        <v>47t10th</v>
      </c>
      <c r="V17" s="418">
        <f t="shared" si="4"/>
        <v>574</v>
      </c>
      <c r="W17" s="599" t="s">
        <v>259</v>
      </c>
      <c r="X17" s="611" t="str">
        <f t="shared" si="6"/>
        <v>4n11t</v>
      </c>
      <c r="Y17" s="599">
        <v>45706</v>
      </c>
      <c r="Z17" s="611">
        <f t="shared" si="7"/>
        <v>59</v>
      </c>
      <c r="AA17" s="612">
        <f t="shared" si="8"/>
        <v>0</v>
      </c>
      <c r="AB17" s="612">
        <f t="shared" si="10"/>
        <v>0</v>
      </c>
      <c r="AC17" s="612">
        <f t="shared" si="14"/>
        <v>0</v>
      </c>
      <c r="AD17" s="612">
        <f t="shared" si="12"/>
        <v>0</v>
      </c>
      <c r="AE17" s="612">
        <f t="shared" si="13"/>
        <v>0</v>
      </c>
      <c r="AF17" s="613"/>
    </row>
    <row r="18" spans="1:34" s="609" customFormat="1" ht="30.65" customHeight="1" x14ac:dyDescent="0.15">
      <c r="A18" s="418">
        <v>10</v>
      </c>
      <c r="B18" s="613"/>
      <c r="C18" s="614">
        <v>26565</v>
      </c>
      <c r="D18" s="599">
        <f t="shared" si="0"/>
        <v>26573</v>
      </c>
      <c r="E18" s="599" t="s">
        <v>791</v>
      </c>
      <c r="F18" s="615"/>
      <c r="G18" s="601"/>
      <c r="H18" s="418"/>
      <c r="I18" s="600"/>
      <c r="J18" s="600"/>
      <c r="K18" s="600"/>
      <c r="L18" s="600"/>
      <c r="M18" s="601">
        <f t="shared" si="9"/>
        <v>0</v>
      </c>
      <c r="N18" s="602">
        <v>2340000</v>
      </c>
      <c r="O18" s="610">
        <f t="shared" si="1"/>
        <v>0</v>
      </c>
      <c r="P18" s="418" t="s">
        <v>807</v>
      </c>
      <c r="Q18" s="621"/>
      <c r="R18" s="599">
        <v>45748</v>
      </c>
      <c r="S18" s="418" t="str">
        <f t="shared" si="2"/>
        <v>52t6th</v>
      </c>
      <c r="T18" s="599">
        <v>44197</v>
      </c>
      <c r="U18" s="418" t="str">
        <f t="shared" si="3"/>
        <v>48t3th</v>
      </c>
      <c r="V18" s="418">
        <f t="shared" si="4"/>
        <v>579</v>
      </c>
      <c r="W18" s="599" t="str">
        <f t="shared" ref="W18:W30" si="18">IF(E18="Nam",VLOOKUP(V18,$U$35:$V$43,2,TRUE),IF(E18="Nữ",VLOOKUP(V18,$U$46:$V$61,2,TRUE)))</f>
        <v>58t8th</v>
      </c>
      <c r="X18" s="611" t="str">
        <f t="shared" si="6"/>
        <v>6n2t</v>
      </c>
      <c r="Y18" s="599">
        <v>45706</v>
      </c>
      <c r="Z18" s="611">
        <f t="shared" si="7"/>
        <v>74</v>
      </c>
      <c r="AA18" s="612">
        <f t="shared" si="8"/>
        <v>0</v>
      </c>
      <c r="AB18" s="612">
        <f t="shared" si="10"/>
        <v>0</v>
      </c>
      <c r="AC18" s="612">
        <f t="shared" si="14"/>
        <v>0</v>
      </c>
      <c r="AD18" s="612">
        <f t="shared" si="12"/>
        <v>0</v>
      </c>
      <c r="AE18" s="612">
        <f t="shared" si="13"/>
        <v>0</v>
      </c>
      <c r="AF18" s="613"/>
    </row>
    <row r="19" spans="1:34" s="609" customFormat="1" ht="30.65" customHeight="1" x14ac:dyDescent="0.15">
      <c r="A19" s="418">
        <v>11</v>
      </c>
      <c r="B19" s="613"/>
      <c r="C19" s="614">
        <v>25496</v>
      </c>
      <c r="D19" s="599">
        <f t="shared" si="0"/>
        <v>25508</v>
      </c>
      <c r="E19" s="599" t="s">
        <v>781</v>
      </c>
      <c r="F19" s="615"/>
      <c r="G19" s="601"/>
      <c r="H19" s="418"/>
      <c r="I19" s="600"/>
      <c r="J19" s="600"/>
      <c r="K19" s="600"/>
      <c r="L19" s="600"/>
      <c r="M19" s="601">
        <f t="shared" si="9"/>
        <v>0</v>
      </c>
      <c r="N19" s="602">
        <v>2340000</v>
      </c>
      <c r="O19" s="610">
        <f t="shared" si="1"/>
        <v>0</v>
      </c>
      <c r="P19" s="418" t="s">
        <v>802</v>
      </c>
      <c r="Q19" s="418"/>
      <c r="R19" s="599">
        <v>45748</v>
      </c>
      <c r="S19" s="418" t="str">
        <f t="shared" si="2"/>
        <v>55t5th</v>
      </c>
      <c r="T19" s="599">
        <v>44197</v>
      </c>
      <c r="U19" s="418" t="str">
        <f t="shared" si="3"/>
        <v>51t2th</v>
      </c>
      <c r="V19" s="418">
        <f t="shared" si="4"/>
        <v>614</v>
      </c>
      <c r="W19" s="599" t="str">
        <f t="shared" si="18"/>
        <v>62t0th</v>
      </c>
      <c r="X19" s="611" t="str">
        <f t="shared" si="6"/>
        <v>6n7t</v>
      </c>
      <c r="Y19" s="599">
        <v>45706</v>
      </c>
      <c r="Z19" s="611">
        <f t="shared" si="7"/>
        <v>79</v>
      </c>
      <c r="AA19" s="612">
        <f t="shared" si="8"/>
        <v>0</v>
      </c>
      <c r="AB19" s="612">
        <f t="shared" si="10"/>
        <v>0</v>
      </c>
      <c r="AC19" s="612">
        <f t="shared" ref="AC19" si="19">ROUND(IF(AND(Z19&gt;60,Z19&lt;=120),4*O19*(QUOTIENT(Z19,12)+IF(AND(MOD(Z19,12)&lt;7,MOD(Z19,12)&gt;0),1/2,IF(MOD(Z19,12)&gt;6,1,0))),IF(AND(Z19&gt;=24,Z19&lt;=60),5*O19*(QUOTIENT(Z19,12)+IF(AND(MOD(Z19,12)&lt;7,MOD(Z19,12)&gt;0),1/2,IF(MOD(Z19,12)&gt;6,1,0))),0)),0)</f>
        <v>0</v>
      </c>
      <c r="AD19" s="612">
        <f t="shared" si="12"/>
        <v>0</v>
      </c>
      <c r="AE19" s="612">
        <f t="shared" ref="AE19" si="20">ROUND(((VALUE(LEFT(P19,2)-20))+IF((VALUE(MID(P19,4,2)))&gt;6,1,IF((VALUE(MID(P19,4,2)))&gt;0,0.5,0)))*0.5*O19,0)</f>
        <v>0</v>
      </c>
      <c r="AF19" s="613"/>
    </row>
    <row r="20" spans="1:34" s="609" customFormat="1" ht="30.65" customHeight="1" x14ac:dyDescent="0.15">
      <c r="A20" s="418">
        <v>12</v>
      </c>
      <c r="B20" s="613"/>
      <c r="C20" s="614">
        <v>25306</v>
      </c>
      <c r="D20" s="599">
        <f t="shared" si="0"/>
        <v>25324</v>
      </c>
      <c r="E20" s="599" t="s">
        <v>781</v>
      </c>
      <c r="F20" s="615"/>
      <c r="G20" s="601"/>
      <c r="H20" s="418"/>
      <c r="I20" s="600"/>
      <c r="J20" s="600"/>
      <c r="K20" s="600"/>
      <c r="L20" s="600"/>
      <c r="M20" s="601">
        <f t="shared" si="9"/>
        <v>0</v>
      </c>
      <c r="N20" s="602">
        <v>2340000</v>
      </c>
      <c r="O20" s="610">
        <f t="shared" si="1"/>
        <v>0</v>
      </c>
      <c r="P20" s="418" t="s">
        <v>810</v>
      </c>
      <c r="Q20" s="418"/>
      <c r="R20" s="599">
        <v>45748</v>
      </c>
      <c r="S20" s="418" t="str">
        <f t="shared" si="2"/>
        <v>55t11th</v>
      </c>
      <c r="T20" s="599">
        <v>44197</v>
      </c>
      <c r="U20" s="418" t="str">
        <f t="shared" si="3"/>
        <v>51t8th</v>
      </c>
      <c r="V20" s="418">
        <f t="shared" si="4"/>
        <v>620</v>
      </c>
      <c r="W20" s="599" t="str">
        <f t="shared" si="18"/>
        <v>62t0th</v>
      </c>
      <c r="X20" s="611" t="str">
        <f t="shared" si="6"/>
        <v>6n1t</v>
      </c>
      <c r="Y20" s="599">
        <v>45706</v>
      </c>
      <c r="Z20" s="611">
        <f t="shared" si="7"/>
        <v>73</v>
      </c>
      <c r="AA20" s="612">
        <f t="shared" si="8"/>
        <v>0</v>
      </c>
      <c r="AB20" s="612">
        <f t="shared" si="10"/>
        <v>0</v>
      </c>
      <c r="AC20" s="612">
        <f t="shared" si="14"/>
        <v>0</v>
      </c>
      <c r="AD20" s="612">
        <f t="shared" si="12"/>
        <v>0</v>
      </c>
      <c r="AE20" s="612">
        <f t="shared" si="13"/>
        <v>0</v>
      </c>
      <c r="AF20" s="613"/>
    </row>
    <row r="21" spans="1:34" s="609" customFormat="1" ht="30.65" customHeight="1" x14ac:dyDescent="0.15">
      <c r="A21" s="418">
        <v>13</v>
      </c>
      <c r="B21" s="613"/>
      <c r="C21" s="614">
        <v>24717</v>
      </c>
      <c r="D21" s="599">
        <f t="shared" si="0"/>
        <v>24746</v>
      </c>
      <c r="E21" s="599" t="s">
        <v>781</v>
      </c>
      <c r="F21" s="615"/>
      <c r="G21" s="601"/>
      <c r="H21" s="418"/>
      <c r="I21" s="600"/>
      <c r="J21" s="600"/>
      <c r="K21" s="600"/>
      <c r="L21" s="600"/>
      <c r="M21" s="601">
        <f t="shared" si="9"/>
        <v>0</v>
      </c>
      <c r="N21" s="602">
        <v>2340000</v>
      </c>
      <c r="O21" s="610">
        <f t="shared" si="1"/>
        <v>0</v>
      </c>
      <c r="P21" s="418" t="s">
        <v>817</v>
      </c>
      <c r="Q21" s="418"/>
      <c r="R21" s="599">
        <v>45748</v>
      </c>
      <c r="S21" s="418" t="str">
        <f t="shared" si="2"/>
        <v>57t6th</v>
      </c>
      <c r="T21" s="599">
        <v>44197</v>
      </c>
      <c r="U21" s="418" t="str">
        <f t="shared" si="3"/>
        <v>53t3th</v>
      </c>
      <c r="V21" s="418">
        <f t="shared" si="4"/>
        <v>639</v>
      </c>
      <c r="W21" s="599" t="str">
        <f t="shared" si="18"/>
        <v>62t0th</v>
      </c>
      <c r="X21" s="611" t="str">
        <f t="shared" si="6"/>
        <v>4n6t</v>
      </c>
      <c r="Y21" s="599">
        <v>45706</v>
      </c>
      <c r="Z21" s="611">
        <f t="shared" si="7"/>
        <v>54</v>
      </c>
      <c r="AA21" s="612">
        <f t="shared" si="8"/>
        <v>0</v>
      </c>
      <c r="AB21" s="612">
        <f t="shared" si="10"/>
        <v>0</v>
      </c>
      <c r="AC21" s="612">
        <f t="shared" si="14"/>
        <v>0</v>
      </c>
      <c r="AD21" s="612">
        <f t="shared" si="12"/>
        <v>0</v>
      </c>
      <c r="AE21" s="612">
        <f t="shared" si="13"/>
        <v>0</v>
      </c>
      <c r="AF21" s="613"/>
    </row>
    <row r="22" spans="1:34" s="609" customFormat="1" ht="30.65" customHeight="1" x14ac:dyDescent="0.15">
      <c r="A22" s="418">
        <v>14</v>
      </c>
      <c r="B22" s="613"/>
      <c r="C22" s="614">
        <v>25362</v>
      </c>
      <c r="D22" s="599">
        <f t="shared" si="0"/>
        <v>25385</v>
      </c>
      <c r="E22" s="599" t="s">
        <v>781</v>
      </c>
      <c r="F22" s="615"/>
      <c r="G22" s="601"/>
      <c r="H22" s="418"/>
      <c r="I22" s="600"/>
      <c r="J22" s="600"/>
      <c r="K22" s="600"/>
      <c r="L22" s="600"/>
      <c r="M22" s="601">
        <f t="shared" si="9"/>
        <v>0</v>
      </c>
      <c r="N22" s="602">
        <v>2340000</v>
      </c>
      <c r="O22" s="610">
        <f t="shared" si="1"/>
        <v>0</v>
      </c>
      <c r="P22" s="418" t="s">
        <v>823</v>
      </c>
      <c r="Q22" s="418"/>
      <c r="R22" s="599">
        <v>45748</v>
      </c>
      <c r="S22" s="418" t="str">
        <f t="shared" si="2"/>
        <v>55t9th</v>
      </c>
      <c r="T22" s="599">
        <v>44197</v>
      </c>
      <c r="U22" s="418" t="str">
        <f t="shared" si="3"/>
        <v>51t6th</v>
      </c>
      <c r="V22" s="418">
        <f t="shared" si="4"/>
        <v>618</v>
      </c>
      <c r="W22" s="599" t="str">
        <f t="shared" si="18"/>
        <v>62t0th</v>
      </c>
      <c r="X22" s="611" t="str">
        <f t="shared" si="6"/>
        <v>6n3t</v>
      </c>
      <c r="Y22" s="599">
        <v>45706</v>
      </c>
      <c r="Z22" s="611">
        <f t="shared" si="7"/>
        <v>75</v>
      </c>
      <c r="AA22" s="612">
        <f t="shared" si="8"/>
        <v>0</v>
      </c>
      <c r="AB22" s="612">
        <f t="shared" si="10"/>
        <v>0</v>
      </c>
      <c r="AC22" s="612">
        <f t="shared" si="14"/>
        <v>0</v>
      </c>
      <c r="AD22" s="612">
        <f t="shared" si="12"/>
        <v>0</v>
      </c>
      <c r="AE22" s="612">
        <f t="shared" si="13"/>
        <v>0</v>
      </c>
      <c r="AF22" s="613"/>
    </row>
    <row r="23" spans="1:34" s="609" customFormat="1" ht="30.65" customHeight="1" x14ac:dyDescent="0.15">
      <c r="A23" s="418">
        <v>15</v>
      </c>
      <c r="B23" s="613"/>
      <c r="C23" s="614">
        <v>26115</v>
      </c>
      <c r="D23" s="599">
        <f t="shared" si="0"/>
        <v>26146</v>
      </c>
      <c r="E23" s="599" t="s">
        <v>781</v>
      </c>
      <c r="F23" s="615"/>
      <c r="G23" s="601"/>
      <c r="H23" s="418"/>
      <c r="I23" s="600"/>
      <c r="J23" s="600"/>
      <c r="K23" s="600"/>
      <c r="L23" s="600"/>
      <c r="M23" s="601">
        <f t="shared" si="9"/>
        <v>0</v>
      </c>
      <c r="N23" s="602">
        <v>2340000</v>
      </c>
      <c r="O23" s="610">
        <f t="shared" si="1"/>
        <v>0</v>
      </c>
      <c r="P23" s="418" t="s">
        <v>818</v>
      </c>
      <c r="Q23" s="418"/>
      <c r="R23" s="599">
        <v>45748</v>
      </c>
      <c r="S23" s="418" t="str">
        <f t="shared" si="2"/>
        <v>53t8th</v>
      </c>
      <c r="T23" s="599">
        <v>44197</v>
      </c>
      <c r="U23" s="418" t="str">
        <f t="shared" si="3"/>
        <v>49t5th</v>
      </c>
      <c r="V23" s="418">
        <f t="shared" si="4"/>
        <v>593</v>
      </c>
      <c r="W23" s="599" t="str">
        <f t="shared" si="18"/>
        <v>62t0th</v>
      </c>
      <c r="X23" s="611" t="str">
        <f t="shared" si="6"/>
        <v>8n4t</v>
      </c>
      <c r="Y23" s="599">
        <v>45706</v>
      </c>
      <c r="Z23" s="611">
        <f t="shared" si="7"/>
        <v>100</v>
      </c>
      <c r="AA23" s="612">
        <f t="shared" si="8"/>
        <v>0</v>
      </c>
      <c r="AB23" s="612">
        <f t="shared" si="10"/>
        <v>0</v>
      </c>
      <c r="AC23" s="612">
        <f t="shared" si="14"/>
        <v>0</v>
      </c>
      <c r="AD23" s="612">
        <f t="shared" si="12"/>
        <v>0</v>
      </c>
      <c r="AE23" s="612">
        <f t="shared" si="13"/>
        <v>0</v>
      </c>
      <c r="AF23" s="613"/>
    </row>
    <row r="24" spans="1:34" s="609" customFormat="1" ht="30.65" customHeight="1" x14ac:dyDescent="0.15">
      <c r="A24" s="418">
        <v>16</v>
      </c>
      <c r="B24" s="613"/>
      <c r="C24" s="614">
        <v>23513</v>
      </c>
      <c r="D24" s="599">
        <f t="shared" si="0"/>
        <v>23529</v>
      </c>
      <c r="E24" s="599" t="s">
        <v>781</v>
      </c>
      <c r="F24" s="615"/>
      <c r="G24" s="601"/>
      <c r="H24" s="418"/>
      <c r="I24" s="600"/>
      <c r="J24" s="600"/>
      <c r="K24" s="600"/>
      <c r="L24" s="600"/>
      <c r="M24" s="601">
        <f t="shared" si="9"/>
        <v>0</v>
      </c>
      <c r="N24" s="602">
        <v>2340000</v>
      </c>
      <c r="O24" s="610">
        <f t="shared" si="1"/>
        <v>0</v>
      </c>
      <c r="P24" s="418" t="s">
        <v>804</v>
      </c>
      <c r="Q24" s="418"/>
      <c r="R24" s="599">
        <v>45748</v>
      </c>
      <c r="S24" s="418" t="str">
        <f t="shared" si="2"/>
        <v>60t10th</v>
      </c>
      <c r="T24" s="599">
        <v>44197</v>
      </c>
      <c r="U24" s="418" t="str">
        <f t="shared" si="3"/>
        <v>56t7th</v>
      </c>
      <c r="V24" s="418">
        <f t="shared" si="4"/>
        <v>679</v>
      </c>
      <c r="W24" s="599" t="str">
        <f t="shared" si="18"/>
        <v>61t3th</v>
      </c>
      <c r="X24" s="611" t="str">
        <f t="shared" si="6"/>
        <v>0n5t</v>
      </c>
      <c r="Y24" s="599">
        <v>45706</v>
      </c>
      <c r="Z24" s="611">
        <f t="shared" si="7"/>
        <v>5</v>
      </c>
      <c r="AA24" s="612">
        <f t="shared" si="8"/>
        <v>0</v>
      </c>
      <c r="AB24" s="612">
        <f t="shared" si="10"/>
        <v>0</v>
      </c>
      <c r="AC24" s="612">
        <f t="shared" si="14"/>
        <v>0</v>
      </c>
      <c r="AD24" s="612"/>
      <c r="AE24" s="612"/>
      <c r="AF24" s="620">
        <f>((VALUE(LEFT(P24,2)-20))+IF((VALUE(MID(P24,4,2)))&gt;6,1,0.5))*0.5*O24</f>
        <v>0</v>
      </c>
      <c r="AG24" s="609">
        <v>0.5</v>
      </c>
      <c r="AH24" s="609">
        <f>AF24*AG24*O24</f>
        <v>0</v>
      </c>
    </row>
    <row r="25" spans="1:34" s="609" customFormat="1" ht="30.65" customHeight="1" x14ac:dyDescent="0.15">
      <c r="A25" s="418">
        <v>17</v>
      </c>
      <c r="B25" s="613"/>
      <c r="C25" s="614">
        <v>24166</v>
      </c>
      <c r="D25" s="599">
        <f t="shared" si="0"/>
        <v>24167</v>
      </c>
      <c r="E25" s="599" t="s">
        <v>781</v>
      </c>
      <c r="F25" s="615"/>
      <c r="G25" s="601"/>
      <c r="H25" s="418"/>
      <c r="I25" s="600"/>
      <c r="J25" s="600"/>
      <c r="K25" s="600"/>
      <c r="L25" s="600"/>
      <c r="M25" s="601">
        <f t="shared" si="9"/>
        <v>0</v>
      </c>
      <c r="N25" s="602">
        <v>2340000</v>
      </c>
      <c r="O25" s="610">
        <f t="shared" si="1"/>
        <v>0</v>
      </c>
      <c r="P25" s="418" t="s">
        <v>803</v>
      </c>
      <c r="Q25" s="418"/>
      <c r="R25" s="599">
        <v>45748</v>
      </c>
      <c r="S25" s="418" t="str">
        <f t="shared" si="2"/>
        <v>59t1th</v>
      </c>
      <c r="T25" s="599">
        <v>44197</v>
      </c>
      <c r="U25" s="418" t="str">
        <f t="shared" si="3"/>
        <v>54t10th</v>
      </c>
      <c r="V25" s="418">
        <f t="shared" si="4"/>
        <v>658</v>
      </c>
      <c r="W25" s="599" t="str">
        <f t="shared" si="18"/>
        <v>61t9th</v>
      </c>
      <c r="X25" s="611" t="str">
        <f t="shared" si="6"/>
        <v>2n8t</v>
      </c>
      <c r="Y25" s="599">
        <v>45706</v>
      </c>
      <c r="Z25" s="611">
        <f t="shared" si="7"/>
        <v>32</v>
      </c>
      <c r="AA25" s="612">
        <f t="shared" si="8"/>
        <v>0</v>
      </c>
      <c r="AB25" s="612">
        <f t="shared" si="10"/>
        <v>0</v>
      </c>
      <c r="AC25" s="612">
        <f t="shared" si="14"/>
        <v>0</v>
      </c>
      <c r="AD25" s="612">
        <f t="shared" si="12"/>
        <v>0</v>
      </c>
      <c r="AE25" s="612">
        <f t="shared" si="13"/>
        <v>0</v>
      </c>
      <c r="AF25" s="613"/>
    </row>
    <row r="26" spans="1:34" s="609" customFormat="1" ht="30.65" customHeight="1" x14ac:dyDescent="0.15">
      <c r="A26" s="418">
        <v>18</v>
      </c>
      <c r="B26" s="613"/>
      <c r="C26" s="614">
        <v>24699</v>
      </c>
      <c r="D26" s="599">
        <f t="shared" si="0"/>
        <v>24716</v>
      </c>
      <c r="E26" s="599" t="s">
        <v>781</v>
      </c>
      <c r="F26" s="615"/>
      <c r="G26" s="601"/>
      <c r="H26" s="418"/>
      <c r="I26" s="600"/>
      <c r="J26" s="600"/>
      <c r="K26" s="600"/>
      <c r="L26" s="600"/>
      <c r="M26" s="601">
        <f t="shared" si="9"/>
        <v>0</v>
      </c>
      <c r="N26" s="602">
        <v>2340000</v>
      </c>
      <c r="O26" s="610">
        <f t="shared" si="1"/>
        <v>0</v>
      </c>
      <c r="P26" s="418" t="s">
        <v>822</v>
      </c>
      <c r="Q26" s="418"/>
      <c r="R26" s="599">
        <v>45748</v>
      </c>
      <c r="S26" s="418" t="str">
        <f t="shared" si="2"/>
        <v>57t7th</v>
      </c>
      <c r="T26" s="599">
        <v>44197</v>
      </c>
      <c r="U26" s="418" t="str">
        <f t="shared" si="3"/>
        <v>53t4th</v>
      </c>
      <c r="V26" s="418">
        <f t="shared" si="4"/>
        <v>640</v>
      </c>
      <c r="W26" s="599" t="str">
        <f t="shared" si="18"/>
        <v>62t0th</v>
      </c>
      <c r="X26" s="611" t="str">
        <f t="shared" si="6"/>
        <v>4n5t</v>
      </c>
      <c r="Y26" s="599">
        <v>45706</v>
      </c>
      <c r="Z26" s="611">
        <f t="shared" si="7"/>
        <v>53</v>
      </c>
      <c r="AA26" s="612">
        <f t="shared" si="8"/>
        <v>0</v>
      </c>
      <c r="AB26" s="612">
        <f t="shared" si="10"/>
        <v>0</v>
      </c>
      <c r="AC26" s="612">
        <f t="shared" si="14"/>
        <v>0</v>
      </c>
      <c r="AD26" s="612">
        <f t="shared" si="12"/>
        <v>0</v>
      </c>
      <c r="AE26" s="612">
        <f t="shared" si="13"/>
        <v>0</v>
      </c>
      <c r="AF26" s="613"/>
    </row>
    <row r="27" spans="1:34" s="609" customFormat="1" ht="30.65" customHeight="1" x14ac:dyDescent="0.15">
      <c r="A27" s="418">
        <v>19</v>
      </c>
      <c r="B27" s="613"/>
      <c r="C27" s="614">
        <v>25446</v>
      </c>
      <c r="D27" s="599">
        <f t="shared" si="0"/>
        <v>25447</v>
      </c>
      <c r="E27" s="599" t="s">
        <v>781</v>
      </c>
      <c r="F27" s="615"/>
      <c r="G27" s="601"/>
      <c r="H27" s="418"/>
      <c r="I27" s="600"/>
      <c r="J27" s="600"/>
      <c r="K27" s="600"/>
      <c r="L27" s="600"/>
      <c r="M27" s="601">
        <f t="shared" si="9"/>
        <v>0</v>
      </c>
      <c r="N27" s="602">
        <v>2340000</v>
      </c>
      <c r="O27" s="610">
        <f t="shared" si="1"/>
        <v>0</v>
      </c>
      <c r="P27" s="418" t="s">
        <v>801</v>
      </c>
      <c r="Q27" s="418"/>
      <c r="R27" s="599">
        <v>45748</v>
      </c>
      <c r="S27" s="418" t="str">
        <f t="shared" si="2"/>
        <v>55t7th</v>
      </c>
      <c r="T27" s="599">
        <v>44197</v>
      </c>
      <c r="U27" s="418" t="str">
        <f t="shared" si="3"/>
        <v>51t4th</v>
      </c>
      <c r="V27" s="418">
        <f t="shared" si="4"/>
        <v>616</v>
      </c>
      <c r="W27" s="599" t="str">
        <f t="shared" si="18"/>
        <v>62t0th</v>
      </c>
      <c r="X27" s="611" t="str">
        <f t="shared" si="6"/>
        <v>6n5t</v>
      </c>
      <c r="Y27" s="599">
        <v>45706</v>
      </c>
      <c r="Z27" s="611">
        <f t="shared" si="7"/>
        <v>77</v>
      </c>
      <c r="AA27" s="612">
        <f t="shared" si="8"/>
        <v>0</v>
      </c>
      <c r="AB27" s="612">
        <f t="shared" si="10"/>
        <v>0</v>
      </c>
      <c r="AC27" s="612">
        <f t="shared" si="14"/>
        <v>0</v>
      </c>
      <c r="AD27" s="612">
        <f t="shared" si="12"/>
        <v>0</v>
      </c>
      <c r="AE27" s="612">
        <f t="shared" si="13"/>
        <v>0</v>
      </c>
      <c r="AF27" s="613"/>
    </row>
    <row r="28" spans="1:34" s="609" customFormat="1" ht="30.65" customHeight="1" x14ac:dyDescent="0.15">
      <c r="A28" s="418">
        <v>20</v>
      </c>
      <c r="B28" s="613"/>
      <c r="C28" s="614">
        <v>24453</v>
      </c>
      <c r="D28" s="599">
        <f t="shared" si="0"/>
        <v>24473</v>
      </c>
      <c r="E28" s="599" t="s">
        <v>781</v>
      </c>
      <c r="F28" s="615"/>
      <c r="G28" s="601"/>
      <c r="H28" s="418"/>
      <c r="I28" s="600"/>
      <c r="J28" s="600"/>
      <c r="K28" s="600"/>
      <c r="L28" s="600"/>
      <c r="M28" s="601">
        <f t="shared" si="9"/>
        <v>0</v>
      </c>
      <c r="N28" s="602">
        <v>2340000</v>
      </c>
      <c r="O28" s="610">
        <f t="shared" si="1"/>
        <v>0</v>
      </c>
      <c r="P28" s="418" t="s">
        <v>800</v>
      </c>
      <c r="Q28" s="418"/>
      <c r="R28" s="599">
        <v>45748</v>
      </c>
      <c r="S28" s="418" t="str">
        <f t="shared" si="2"/>
        <v>58t3th</v>
      </c>
      <c r="T28" s="599">
        <v>44197</v>
      </c>
      <c r="U28" s="418" t="str">
        <f t="shared" si="3"/>
        <v>54t0th</v>
      </c>
      <c r="V28" s="418">
        <f t="shared" si="4"/>
        <v>648</v>
      </c>
      <c r="W28" s="599" t="str">
        <f t="shared" si="18"/>
        <v>62t0th</v>
      </c>
      <c r="X28" s="611" t="str">
        <f t="shared" si="6"/>
        <v>3n9t</v>
      </c>
      <c r="Y28" s="599">
        <v>45706</v>
      </c>
      <c r="Z28" s="611">
        <f t="shared" si="7"/>
        <v>45</v>
      </c>
      <c r="AA28" s="612">
        <f t="shared" si="8"/>
        <v>0</v>
      </c>
      <c r="AB28" s="612">
        <f t="shared" si="10"/>
        <v>0</v>
      </c>
      <c r="AC28" s="612">
        <f t="shared" si="14"/>
        <v>0</v>
      </c>
      <c r="AD28" s="612">
        <f t="shared" si="12"/>
        <v>0</v>
      </c>
      <c r="AE28" s="612">
        <f t="shared" si="13"/>
        <v>0</v>
      </c>
      <c r="AF28" s="613"/>
    </row>
    <row r="29" spans="1:34" s="609" customFormat="1" ht="30.65" customHeight="1" x14ac:dyDescent="0.15">
      <c r="A29" s="418">
        <v>21</v>
      </c>
      <c r="B29" s="613"/>
      <c r="C29" s="614">
        <v>25831</v>
      </c>
      <c r="D29" s="599">
        <f t="shared" si="0"/>
        <v>25842</v>
      </c>
      <c r="E29" s="599" t="s">
        <v>781</v>
      </c>
      <c r="F29" s="615"/>
      <c r="G29" s="601"/>
      <c r="H29" s="418"/>
      <c r="I29" s="600"/>
      <c r="J29" s="600"/>
      <c r="K29" s="600"/>
      <c r="L29" s="600"/>
      <c r="M29" s="601">
        <f t="shared" si="9"/>
        <v>0</v>
      </c>
      <c r="N29" s="602">
        <v>2340000</v>
      </c>
      <c r="O29" s="610">
        <f t="shared" si="1"/>
        <v>0</v>
      </c>
      <c r="P29" s="418" t="s">
        <v>799</v>
      </c>
      <c r="Q29" s="418"/>
      <c r="R29" s="599">
        <v>45748</v>
      </c>
      <c r="S29" s="418" t="str">
        <f t="shared" si="2"/>
        <v>54t6th</v>
      </c>
      <c r="T29" s="599">
        <v>44197</v>
      </c>
      <c r="U29" s="418" t="str">
        <f t="shared" si="3"/>
        <v>50t3th</v>
      </c>
      <c r="V29" s="418">
        <f t="shared" si="4"/>
        <v>603</v>
      </c>
      <c r="W29" s="599" t="str">
        <f t="shared" si="18"/>
        <v>62t0th</v>
      </c>
      <c r="X29" s="611" t="str">
        <f t="shared" si="6"/>
        <v>7n6t</v>
      </c>
      <c r="Y29" s="599">
        <v>45706</v>
      </c>
      <c r="Z29" s="611">
        <f t="shared" si="7"/>
        <v>90</v>
      </c>
      <c r="AA29" s="612">
        <f t="shared" si="8"/>
        <v>0</v>
      </c>
      <c r="AB29" s="612">
        <f t="shared" si="10"/>
        <v>0</v>
      </c>
      <c r="AC29" s="612">
        <f t="shared" si="14"/>
        <v>0</v>
      </c>
      <c r="AD29" s="612">
        <f t="shared" si="12"/>
        <v>0</v>
      </c>
      <c r="AE29" s="612">
        <f t="shared" si="13"/>
        <v>0</v>
      </c>
      <c r="AF29" s="613"/>
    </row>
    <row r="30" spans="1:34" s="609" customFormat="1" ht="30.65" customHeight="1" x14ac:dyDescent="0.15">
      <c r="A30" s="418">
        <v>22</v>
      </c>
      <c r="B30" s="613"/>
      <c r="C30" s="614">
        <v>24541</v>
      </c>
      <c r="D30" s="599">
        <f t="shared" si="0"/>
        <v>24563</v>
      </c>
      <c r="E30" s="599" t="s">
        <v>781</v>
      </c>
      <c r="F30" s="615"/>
      <c r="G30" s="601"/>
      <c r="H30" s="418"/>
      <c r="I30" s="600"/>
      <c r="J30" s="600"/>
      <c r="K30" s="600"/>
      <c r="L30" s="600"/>
      <c r="M30" s="601">
        <f t="shared" si="9"/>
        <v>0</v>
      </c>
      <c r="N30" s="602">
        <v>2340000</v>
      </c>
      <c r="O30" s="610">
        <f t="shared" si="1"/>
        <v>0</v>
      </c>
      <c r="P30" s="418" t="s">
        <v>793</v>
      </c>
      <c r="Q30" s="418"/>
      <c r="R30" s="599">
        <v>45748</v>
      </c>
      <c r="S30" s="418" t="str">
        <f t="shared" si="2"/>
        <v>58t0th</v>
      </c>
      <c r="T30" s="599">
        <v>44197</v>
      </c>
      <c r="U30" s="418" t="str">
        <f t="shared" si="3"/>
        <v>53t9th</v>
      </c>
      <c r="V30" s="418">
        <f t="shared" si="4"/>
        <v>645</v>
      </c>
      <c r="W30" s="599" t="str">
        <f t="shared" si="18"/>
        <v>62t0th</v>
      </c>
      <c r="X30" s="611" t="str">
        <f t="shared" si="6"/>
        <v>4n0t</v>
      </c>
      <c r="Y30" s="599">
        <v>45706</v>
      </c>
      <c r="Z30" s="611">
        <f t="shared" si="7"/>
        <v>48</v>
      </c>
      <c r="AA30" s="612">
        <f t="shared" si="8"/>
        <v>0</v>
      </c>
      <c r="AB30" s="612">
        <f t="shared" si="10"/>
        <v>0</v>
      </c>
      <c r="AC30" s="612">
        <f t="shared" si="14"/>
        <v>0</v>
      </c>
      <c r="AD30" s="612">
        <f t="shared" si="12"/>
        <v>0</v>
      </c>
      <c r="AE30" s="612">
        <f t="shared" si="13"/>
        <v>0</v>
      </c>
      <c r="AF30" s="613"/>
    </row>
    <row r="31" spans="1:34" x14ac:dyDescent="0.35">
      <c r="M31" s="596"/>
      <c r="N31" s="597"/>
      <c r="S31" s="117" t="s">
        <v>630</v>
      </c>
      <c r="T31" s="117">
        <v>44197</v>
      </c>
      <c r="U31" s="117" t="s">
        <v>789</v>
      </c>
      <c r="V31" s="117">
        <v>576</v>
      </c>
      <c r="W31" s="117" t="s">
        <v>769</v>
      </c>
      <c r="X31" s="611">
        <f>(VALUE(LEFT(W31,2))*12+VALUE(MID(W31,4,LEN(W31)-5))-(VALUE(LEFT(S31,2))*12+VALUE(MID(S31,4,LEN(S31)-5))))</f>
        <v>120</v>
      </c>
      <c r="AC31" s="117">
        <f>IF(X31&gt;61,)</f>
        <v>0</v>
      </c>
    </row>
    <row r="32" spans="1:34" x14ac:dyDescent="0.35">
      <c r="M32" s="596"/>
      <c r="N32" s="597"/>
    </row>
    <row r="33" spans="1:24" x14ac:dyDescent="0.35">
      <c r="M33" s="596"/>
      <c r="N33" s="597"/>
    </row>
    <row r="34" spans="1:24" x14ac:dyDescent="0.35">
      <c r="A34" s="442" t="s">
        <v>767</v>
      </c>
      <c r="B34" s="442"/>
      <c r="C34" s="442"/>
      <c r="D34" s="442"/>
      <c r="E34" s="442"/>
      <c r="F34" s="584"/>
      <c r="G34" s="442"/>
      <c r="H34" s="442"/>
      <c r="I34" s="442"/>
      <c r="M34" s="596"/>
      <c r="N34" s="597"/>
      <c r="R34" s="584">
        <v>44197</v>
      </c>
      <c r="S34" s="442"/>
      <c r="T34" s="442"/>
      <c r="U34" s="442" t="s">
        <v>86</v>
      </c>
      <c r="V34" s="442" t="s">
        <v>768</v>
      </c>
      <c r="W34" s="442"/>
      <c r="X34" s="442"/>
    </row>
    <row r="35" spans="1:24" x14ac:dyDescent="0.35">
      <c r="A35" s="442"/>
      <c r="B35" s="442"/>
      <c r="C35" s="442"/>
      <c r="D35" s="442"/>
      <c r="E35" s="442"/>
      <c r="F35" s="584"/>
      <c r="G35" s="442"/>
      <c r="H35" s="442"/>
      <c r="I35" s="442"/>
      <c r="M35" s="596"/>
      <c r="N35" s="597"/>
      <c r="R35" s="584"/>
      <c r="S35" s="442"/>
      <c r="T35" s="442"/>
      <c r="U35" s="442">
        <v>0</v>
      </c>
      <c r="V35" s="442" t="s">
        <v>769</v>
      </c>
      <c r="W35" s="442"/>
      <c r="X35" s="442"/>
    </row>
    <row r="36" spans="1:24" x14ac:dyDescent="0.35">
      <c r="A36" s="442"/>
      <c r="B36" s="442"/>
      <c r="C36" s="442"/>
      <c r="D36" s="442"/>
      <c r="E36" s="442"/>
      <c r="F36" s="442"/>
      <c r="G36" s="442"/>
      <c r="H36" s="442"/>
      <c r="I36" s="442"/>
      <c r="M36" s="596"/>
      <c r="N36" s="597"/>
      <c r="R36" s="442">
        <f t="shared" ref="R36:R43" si="21">U37-U36</f>
        <v>9</v>
      </c>
      <c r="S36" s="442"/>
      <c r="T36" s="442"/>
      <c r="U36" s="442">
        <v>657</v>
      </c>
      <c r="V36" s="442" t="s">
        <v>770</v>
      </c>
      <c r="W36" s="442"/>
      <c r="X36" s="442"/>
    </row>
    <row r="37" spans="1:24" x14ac:dyDescent="0.35">
      <c r="A37" s="442"/>
      <c r="B37" s="442"/>
      <c r="C37" s="442"/>
      <c r="D37" s="442"/>
      <c r="E37" s="442"/>
      <c r="F37" s="442"/>
      <c r="G37" s="442"/>
      <c r="H37" s="442"/>
      <c r="I37" s="442"/>
      <c r="M37" s="596"/>
      <c r="N37" s="597"/>
      <c r="R37" s="442">
        <f t="shared" si="21"/>
        <v>9</v>
      </c>
      <c r="S37" s="442"/>
      <c r="T37" s="442"/>
      <c r="U37" s="442">
        <v>666</v>
      </c>
      <c r="V37" s="442" t="s">
        <v>771</v>
      </c>
      <c r="W37" s="442"/>
      <c r="X37" s="442"/>
    </row>
    <row r="38" spans="1:24" ht="15" x14ac:dyDescent="0.35">
      <c r="A38" s="442"/>
      <c r="B38" s="442"/>
      <c r="C38" s="442"/>
      <c r="D38" s="442"/>
      <c r="E38" s="442"/>
      <c r="F38" s="442"/>
      <c r="G38" s="442"/>
      <c r="H38" s="442"/>
      <c r="I38" s="442"/>
      <c r="M38" s="616"/>
      <c r="N38" s="617"/>
      <c r="R38" s="442">
        <f t="shared" si="21"/>
        <v>9</v>
      </c>
      <c r="S38" s="442"/>
      <c r="T38" s="442"/>
      <c r="U38" s="442">
        <v>675</v>
      </c>
      <c r="V38" s="442" t="s">
        <v>772</v>
      </c>
      <c r="W38" s="442"/>
      <c r="X38" s="442"/>
    </row>
    <row r="39" spans="1:24" ht="15" x14ac:dyDescent="0.35">
      <c r="A39" s="442"/>
      <c r="B39" s="442"/>
      <c r="C39" s="442"/>
      <c r="D39" s="442"/>
      <c r="E39" s="442"/>
      <c r="F39" s="442"/>
      <c r="G39" s="442"/>
      <c r="H39" s="442"/>
      <c r="I39" s="442"/>
      <c r="M39" s="616"/>
      <c r="N39" s="617"/>
      <c r="R39" s="442">
        <f t="shared" si="21"/>
        <v>9</v>
      </c>
      <c r="S39" s="442"/>
      <c r="T39" s="442"/>
      <c r="U39" s="442">
        <v>684</v>
      </c>
      <c r="V39" s="442" t="s">
        <v>773</v>
      </c>
      <c r="W39" s="442"/>
      <c r="X39" s="442"/>
    </row>
    <row r="40" spans="1:24" ht="15" x14ac:dyDescent="0.35">
      <c r="A40" s="442"/>
      <c r="B40" s="442"/>
      <c r="C40" s="442"/>
      <c r="D40" s="442"/>
      <c r="E40" s="442"/>
      <c r="F40" s="442"/>
      <c r="G40" s="442"/>
      <c r="H40" s="442"/>
      <c r="I40" s="442"/>
      <c r="M40" s="616"/>
      <c r="N40" s="617"/>
      <c r="R40" s="442">
        <f t="shared" si="21"/>
        <v>9</v>
      </c>
      <c r="S40" s="442"/>
      <c r="T40" s="442"/>
      <c r="U40" s="442">
        <v>693</v>
      </c>
      <c r="V40" s="442" t="s">
        <v>689</v>
      </c>
      <c r="W40" s="442"/>
      <c r="X40" s="442"/>
    </row>
    <row r="41" spans="1:24" x14ac:dyDescent="0.35">
      <c r="A41" s="442"/>
      <c r="B41" s="442"/>
      <c r="C41" s="442"/>
      <c r="D41" s="442"/>
      <c r="E41" s="442"/>
      <c r="F41" s="442"/>
      <c r="G41" s="442"/>
      <c r="H41" s="442"/>
      <c r="I41" s="442"/>
      <c r="M41" s="618"/>
      <c r="N41" s="619"/>
      <c r="R41" s="442">
        <f t="shared" si="21"/>
        <v>9</v>
      </c>
      <c r="S41" s="442"/>
      <c r="T41" s="442"/>
      <c r="U41" s="442">
        <v>702</v>
      </c>
      <c r="V41" s="442" t="s">
        <v>665</v>
      </c>
      <c r="W41" s="442"/>
      <c r="X41" s="442"/>
    </row>
    <row r="42" spans="1:24" x14ac:dyDescent="0.35">
      <c r="A42" s="442"/>
      <c r="B42" s="442"/>
      <c r="C42" s="442"/>
      <c r="D42" s="442"/>
      <c r="E42" s="442"/>
      <c r="F42" s="442"/>
      <c r="G42" s="442"/>
      <c r="H42" s="442"/>
      <c r="I42" s="442"/>
      <c r="M42" s="596"/>
      <c r="N42" s="597"/>
      <c r="R42" s="442">
        <f t="shared" si="21"/>
        <v>9</v>
      </c>
      <c r="S42" s="442"/>
      <c r="T42" s="442"/>
      <c r="U42" s="442">
        <v>711</v>
      </c>
      <c r="V42" s="442" t="s">
        <v>774</v>
      </c>
      <c r="W42" s="442"/>
      <c r="X42" s="442"/>
    </row>
    <row r="43" spans="1:24" x14ac:dyDescent="0.35">
      <c r="A43" s="442"/>
      <c r="B43" s="442"/>
      <c r="C43" s="442"/>
      <c r="D43" s="442"/>
      <c r="E43" s="442"/>
      <c r="F43" s="442"/>
      <c r="G43" s="442"/>
      <c r="H43" s="442"/>
      <c r="I43" s="442"/>
      <c r="M43" s="596"/>
      <c r="N43" s="597"/>
      <c r="R43" s="442">
        <f t="shared" si="21"/>
        <v>-720</v>
      </c>
      <c r="S43" s="442"/>
      <c r="T43" s="442"/>
      <c r="U43" s="442">
        <v>720</v>
      </c>
      <c r="V43" s="442" t="s">
        <v>775</v>
      </c>
      <c r="W43" s="442"/>
      <c r="X43" s="442"/>
    </row>
    <row r="44" spans="1:24" x14ac:dyDescent="0.35">
      <c r="A44" s="442"/>
      <c r="B44" s="442"/>
      <c r="C44" s="442"/>
      <c r="D44" s="442"/>
      <c r="E44" s="442"/>
      <c r="F44" s="442"/>
      <c r="G44" s="442"/>
      <c r="H44" s="442"/>
      <c r="I44" s="442"/>
      <c r="M44" s="596"/>
      <c r="N44" s="597"/>
      <c r="R44" s="442"/>
      <c r="S44" s="442"/>
      <c r="T44" s="442"/>
      <c r="U44" s="442"/>
      <c r="V44" s="442"/>
      <c r="W44" s="442"/>
      <c r="X44" s="442"/>
    </row>
    <row r="45" spans="1:24" x14ac:dyDescent="0.35">
      <c r="A45" s="442"/>
      <c r="B45" s="442"/>
      <c r="C45" s="442"/>
      <c r="D45" s="442"/>
      <c r="E45" s="442"/>
      <c r="F45" s="442"/>
      <c r="G45" s="442"/>
      <c r="H45" s="442"/>
      <c r="I45" s="442"/>
      <c r="M45" s="596"/>
      <c r="N45" s="597"/>
      <c r="R45" s="442"/>
      <c r="S45" s="442"/>
      <c r="T45" s="442"/>
      <c r="U45" s="442" t="s">
        <v>86</v>
      </c>
      <c r="V45" s="442" t="s">
        <v>768</v>
      </c>
      <c r="W45" s="442"/>
      <c r="X45" s="442"/>
    </row>
    <row r="46" spans="1:24" x14ac:dyDescent="0.35">
      <c r="A46" s="442"/>
      <c r="B46" s="442"/>
      <c r="C46" s="442"/>
      <c r="D46" s="442"/>
      <c r="E46" s="442"/>
      <c r="F46" s="442"/>
      <c r="G46" s="442"/>
      <c r="H46" s="442"/>
      <c r="I46" s="442"/>
      <c r="M46" s="596"/>
      <c r="N46" s="597"/>
      <c r="R46" s="442"/>
      <c r="S46" s="442"/>
      <c r="T46" s="442"/>
      <c r="U46" s="442">
        <v>0</v>
      </c>
      <c r="V46" s="442" t="s">
        <v>775</v>
      </c>
      <c r="W46" s="442"/>
      <c r="X46" s="442"/>
    </row>
    <row r="47" spans="1:24" x14ac:dyDescent="0.35">
      <c r="A47" s="442"/>
      <c r="B47" s="442"/>
      <c r="C47" s="442"/>
      <c r="D47" s="442"/>
      <c r="E47" s="442"/>
      <c r="F47" s="442"/>
      <c r="G47" s="442"/>
      <c r="H47" s="442"/>
      <c r="I47" s="442"/>
      <c r="M47" s="596"/>
      <c r="N47" s="597"/>
      <c r="R47" s="442">
        <f t="shared" ref="R47:R61" si="22">U48-U47</f>
        <v>8</v>
      </c>
      <c r="S47" s="442"/>
      <c r="T47" s="442"/>
      <c r="U47" s="442">
        <v>548</v>
      </c>
      <c r="V47" s="442" t="s">
        <v>776</v>
      </c>
      <c r="W47" s="442"/>
      <c r="X47" s="442"/>
    </row>
    <row r="48" spans="1:24" x14ac:dyDescent="0.35">
      <c r="A48" s="442"/>
      <c r="B48" s="442"/>
      <c r="C48" s="442"/>
      <c r="D48" s="442"/>
      <c r="E48" s="442"/>
      <c r="F48" s="442"/>
      <c r="G48" s="442"/>
      <c r="H48" s="442"/>
      <c r="I48" s="442"/>
      <c r="M48" s="596"/>
      <c r="N48" s="597"/>
      <c r="R48" s="442">
        <f t="shared" si="22"/>
        <v>8</v>
      </c>
      <c r="S48" s="442"/>
      <c r="T48" s="442"/>
      <c r="U48" s="442">
        <v>556</v>
      </c>
      <c r="V48" s="442" t="s">
        <v>777</v>
      </c>
      <c r="W48" s="442"/>
      <c r="X48" s="442"/>
    </row>
    <row r="49" spans="1:24" x14ac:dyDescent="0.35">
      <c r="A49" s="442"/>
      <c r="B49" s="442"/>
      <c r="C49" s="442"/>
      <c r="D49" s="442"/>
      <c r="E49" s="442"/>
      <c r="F49" s="442"/>
      <c r="G49" s="442"/>
      <c r="H49" s="442"/>
      <c r="I49" s="442"/>
      <c r="M49" s="596"/>
      <c r="N49" s="597"/>
      <c r="R49" s="442">
        <f t="shared" si="22"/>
        <v>8</v>
      </c>
      <c r="S49" s="442"/>
      <c r="T49" s="442"/>
      <c r="U49" s="442">
        <v>564</v>
      </c>
      <c r="V49" s="442" t="s">
        <v>778</v>
      </c>
      <c r="W49" s="442"/>
      <c r="X49" s="442"/>
    </row>
    <row r="50" spans="1:24" x14ac:dyDescent="0.35">
      <c r="A50" s="442"/>
      <c r="B50" s="442"/>
      <c r="C50" s="442"/>
      <c r="D50" s="442"/>
      <c r="E50" s="442"/>
      <c r="F50" s="442"/>
      <c r="G50" s="442"/>
      <c r="H50" s="442"/>
      <c r="I50" s="442"/>
      <c r="M50" s="596"/>
      <c r="N50" s="597"/>
      <c r="R50" s="442">
        <f t="shared" si="22"/>
        <v>8</v>
      </c>
      <c r="S50" s="442"/>
      <c r="T50" s="442"/>
      <c r="U50" s="442">
        <v>572</v>
      </c>
      <c r="V50" s="442" t="s">
        <v>519</v>
      </c>
      <c r="W50" s="442"/>
      <c r="X50" s="442"/>
    </row>
    <row r="51" spans="1:24" x14ac:dyDescent="0.35">
      <c r="A51" s="442"/>
      <c r="B51" s="442"/>
      <c r="C51" s="442"/>
      <c r="D51" s="442"/>
      <c r="E51" s="442"/>
      <c r="F51" s="442"/>
      <c r="G51" s="442"/>
      <c r="H51" s="442"/>
      <c r="I51" s="442"/>
      <c r="M51" s="596"/>
      <c r="N51" s="597"/>
      <c r="R51" s="442">
        <f t="shared" si="22"/>
        <v>8</v>
      </c>
      <c r="S51" s="442"/>
      <c r="T51" s="442"/>
      <c r="U51" s="442">
        <v>580</v>
      </c>
      <c r="V51" s="442" t="s">
        <v>260</v>
      </c>
      <c r="W51" s="442"/>
      <c r="X51" s="442"/>
    </row>
    <row r="52" spans="1:24" ht="15" x14ac:dyDescent="0.35">
      <c r="A52" s="442"/>
      <c r="B52" s="442"/>
      <c r="C52" s="442"/>
      <c r="D52" s="442"/>
      <c r="E52" s="442"/>
      <c r="F52" s="442"/>
      <c r="G52" s="442"/>
      <c r="H52" s="442"/>
      <c r="I52" s="442"/>
      <c r="M52" s="616"/>
      <c r="N52" s="617"/>
      <c r="R52" s="442">
        <f t="shared" si="22"/>
        <v>8</v>
      </c>
      <c r="S52" s="442"/>
      <c r="T52" s="442"/>
      <c r="U52" s="442">
        <v>588</v>
      </c>
      <c r="V52" s="442" t="s">
        <v>248</v>
      </c>
      <c r="W52" s="442"/>
      <c r="X52" s="442"/>
    </row>
    <row r="53" spans="1:24" x14ac:dyDescent="0.35">
      <c r="A53" s="442"/>
      <c r="B53" s="442"/>
      <c r="C53" s="442"/>
      <c r="D53" s="442"/>
      <c r="E53" s="442"/>
      <c r="F53" s="442"/>
      <c r="G53" s="442"/>
      <c r="H53" s="442"/>
      <c r="I53" s="442"/>
      <c r="R53" s="442">
        <f t="shared" si="22"/>
        <v>8</v>
      </c>
      <c r="S53" s="442"/>
      <c r="T53" s="442"/>
      <c r="U53" s="442">
        <v>596</v>
      </c>
      <c r="V53" s="442" t="s">
        <v>779</v>
      </c>
      <c r="W53" s="442"/>
      <c r="X53" s="442"/>
    </row>
    <row r="54" spans="1:24" x14ac:dyDescent="0.35">
      <c r="A54" s="442"/>
      <c r="B54" s="442"/>
      <c r="C54" s="442"/>
      <c r="D54" s="442"/>
      <c r="E54" s="442"/>
      <c r="F54" s="442"/>
      <c r="G54" s="442"/>
      <c r="H54" s="442"/>
      <c r="I54" s="442"/>
      <c r="R54" s="442">
        <f t="shared" si="22"/>
        <v>8</v>
      </c>
      <c r="S54" s="442"/>
      <c r="T54" s="442"/>
      <c r="U54" s="442">
        <v>604</v>
      </c>
      <c r="V54" s="442" t="s">
        <v>780</v>
      </c>
      <c r="W54" s="442"/>
      <c r="X54" s="442"/>
    </row>
    <row r="55" spans="1:24" x14ac:dyDescent="0.35">
      <c r="A55" s="442"/>
      <c r="B55" s="442"/>
      <c r="C55" s="442"/>
      <c r="D55" s="442"/>
      <c r="E55" s="442"/>
      <c r="F55" s="442"/>
      <c r="G55" s="442"/>
      <c r="H55" s="442"/>
      <c r="I55" s="442"/>
      <c r="R55" s="442">
        <f t="shared" si="22"/>
        <v>8</v>
      </c>
      <c r="S55" s="442"/>
      <c r="T55" s="442"/>
      <c r="U55" s="442">
        <v>612</v>
      </c>
      <c r="V55" s="442" t="s">
        <v>259</v>
      </c>
      <c r="W55" s="442"/>
      <c r="X55" s="442"/>
    </row>
    <row r="56" spans="1:24" x14ac:dyDescent="0.35">
      <c r="A56" s="442"/>
      <c r="B56" s="442"/>
      <c r="C56" s="442"/>
      <c r="D56" s="442"/>
      <c r="E56" s="442"/>
      <c r="F56" s="442"/>
      <c r="G56" s="442"/>
      <c r="H56" s="442"/>
      <c r="I56" s="442"/>
      <c r="R56" s="442">
        <f t="shared" si="22"/>
        <v>8</v>
      </c>
      <c r="S56" s="442"/>
      <c r="T56" s="442"/>
      <c r="U56" s="442">
        <v>620</v>
      </c>
      <c r="V56" s="442" t="s">
        <v>562</v>
      </c>
      <c r="W56" s="442"/>
      <c r="X56" s="442"/>
    </row>
    <row r="57" spans="1:24" x14ac:dyDescent="0.35">
      <c r="A57" s="442"/>
      <c r="B57" s="442"/>
      <c r="C57" s="442"/>
      <c r="D57" s="442"/>
      <c r="E57" s="442"/>
      <c r="F57" s="442"/>
      <c r="G57" s="442"/>
      <c r="H57" s="442"/>
      <c r="I57" s="442"/>
      <c r="R57" s="442">
        <f t="shared" si="22"/>
        <v>8</v>
      </c>
      <c r="S57" s="442"/>
      <c r="T57" s="442"/>
      <c r="U57" s="442">
        <v>628</v>
      </c>
      <c r="V57" s="442" t="s">
        <v>541</v>
      </c>
      <c r="W57" s="442"/>
      <c r="X57" s="442"/>
    </row>
    <row r="58" spans="1:24" x14ac:dyDescent="0.35">
      <c r="A58" s="442"/>
      <c r="B58" s="442"/>
      <c r="C58" s="442"/>
      <c r="D58" s="442"/>
      <c r="E58" s="442"/>
      <c r="F58" s="442"/>
      <c r="G58" s="442"/>
      <c r="H58" s="442"/>
      <c r="I58" s="442"/>
      <c r="R58" s="442">
        <f t="shared" si="22"/>
        <v>8</v>
      </c>
      <c r="S58" s="442"/>
      <c r="T58" s="442"/>
      <c r="U58" s="442">
        <v>636</v>
      </c>
      <c r="V58" s="442" t="s">
        <v>529</v>
      </c>
      <c r="W58" s="442"/>
      <c r="X58" s="442"/>
    </row>
    <row r="59" spans="1:24" x14ac:dyDescent="0.35">
      <c r="A59" s="442"/>
      <c r="B59" s="442"/>
      <c r="C59" s="442"/>
      <c r="D59" s="442"/>
      <c r="E59" s="442"/>
      <c r="F59" s="442"/>
      <c r="G59" s="442"/>
      <c r="H59" s="442"/>
      <c r="I59" s="442"/>
      <c r="R59" s="442">
        <f t="shared" si="22"/>
        <v>8</v>
      </c>
      <c r="S59" s="442"/>
      <c r="T59" s="442"/>
      <c r="U59" s="442">
        <v>644</v>
      </c>
      <c r="V59" s="442" t="s">
        <v>247</v>
      </c>
      <c r="W59" s="442"/>
      <c r="X59" s="442"/>
    </row>
    <row r="60" spans="1:24" x14ac:dyDescent="0.35">
      <c r="A60" s="442"/>
      <c r="B60" s="442"/>
      <c r="C60" s="442"/>
      <c r="D60" s="442"/>
      <c r="E60" s="442"/>
      <c r="F60" s="442"/>
      <c r="G60" s="442"/>
      <c r="H60" s="442"/>
      <c r="I60" s="442"/>
      <c r="R60" s="442">
        <f t="shared" si="22"/>
        <v>8</v>
      </c>
      <c r="S60" s="442"/>
      <c r="T60" s="442"/>
      <c r="U60" s="442">
        <v>652</v>
      </c>
      <c r="V60" s="442" t="s">
        <v>254</v>
      </c>
      <c r="W60" s="442"/>
      <c r="X60" s="442"/>
    </row>
    <row r="61" spans="1:24" x14ac:dyDescent="0.35">
      <c r="A61" s="442"/>
      <c r="B61" s="442"/>
      <c r="C61" s="442"/>
      <c r="D61" s="442"/>
      <c r="E61" s="442"/>
      <c r="F61" s="442"/>
      <c r="G61" s="442"/>
      <c r="H61" s="442"/>
      <c r="I61" s="442"/>
      <c r="R61" s="442">
        <f t="shared" si="22"/>
        <v>-660</v>
      </c>
      <c r="S61" s="442"/>
      <c r="T61" s="442"/>
      <c r="U61" s="442">
        <v>660</v>
      </c>
      <c r="V61" s="442" t="s">
        <v>257</v>
      </c>
      <c r="W61" s="442"/>
      <c r="X61" s="442"/>
    </row>
    <row r="62" spans="1:24" x14ac:dyDescent="0.35">
      <c r="T62" s="442"/>
      <c r="U62" s="442"/>
    </row>
    <row r="63" spans="1:24" x14ac:dyDescent="0.35">
      <c r="T63" s="442"/>
      <c r="U63" s="442"/>
    </row>
    <row r="64" spans="1:24" x14ac:dyDescent="0.35">
      <c r="T64" s="442"/>
      <c r="U64" s="442"/>
    </row>
    <row r="65" spans="20:21" x14ac:dyDescent="0.35">
      <c r="T65" s="442"/>
      <c r="U65" s="442"/>
    </row>
    <row r="66" spans="20:21" x14ac:dyDescent="0.35">
      <c r="T66" s="442"/>
      <c r="U66" s="442"/>
    </row>
    <row r="67" spans="20:21" x14ac:dyDescent="0.35">
      <c r="T67" s="442"/>
      <c r="U67" s="442"/>
    </row>
    <row r="68" spans="20:21" x14ac:dyDescent="0.35">
      <c r="T68" s="442"/>
      <c r="U68" s="442"/>
    </row>
    <row r="69" spans="20:21" x14ac:dyDescent="0.35">
      <c r="T69" s="442"/>
      <c r="U69" s="442"/>
    </row>
    <row r="70" spans="20:21" x14ac:dyDescent="0.35">
      <c r="T70" s="442"/>
      <c r="U70" s="442"/>
    </row>
    <row r="71" spans="20:21" x14ac:dyDescent="0.35">
      <c r="T71" s="442"/>
      <c r="U71" s="442"/>
    </row>
    <row r="72" spans="20:21" x14ac:dyDescent="0.35">
      <c r="T72" s="442"/>
      <c r="U72" s="442"/>
    </row>
    <row r="73" spans="20:21" x14ac:dyDescent="0.35">
      <c r="T73" s="442"/>
      <c r="U73" s="442"/>
    </row>
    <row r="74" spans="20:21" x14ac:dyDescent="0.35">
      <c r="T74" s="442"/>
      <c r="U74" s="442"/>
    </row>
    <row r="75" spans="20:21" x14ac:dyDescent="0.35">
      <c r="T75" s="442"/>
      <c r="U75" s="442"/>
    </row>
    <row r="76" spans="20:21" x14ac:dyDescent="0.35">
      <c r="T76" s="442"/>
      <c r="U76" s="442"/>
    </row>
    <row r="77" spans="20:21" x14ac:dyDescent="0.35">
      <c r="T77" s="442"/>
      <c r="U77" s="442"/>
    </row>
    <row r="78" spans="20:21" x14ac:dyDescent="0.35">
      <c r="T78" s="442"/>
      <c r="U78" s="442"/>
    </row>
    <row r="79" spans="20:21" x14ac:dyDescent="0.35">
      <c r="T79" s="442"/>
      <c r="U79" s="442"/>
    </row>
    <row r="80" spans="20:21" x14ac:dyDescent="0.35">
      <c r="T80" s="442"/>
      <c r="U80" s="442"/>
    </row>
    <row r="81" spans="20:21" x14ac:dyDescent="0.35">
      <c r="T81" s="442"/>
      <c r="U81" s="442"/>
    </row>
    <row r="82" spans="20:21" x14ac:dyDescent="0.35">
      <c r="T82" s="442"/>
      <c r="U82" s="442"/>
    </row>
    <row r="83" spans="20:21" x14ac:dyDescent="0.35">
      <c r="T83" s="442"/>
      <c r="U83" s="442"/>
    </row>
    <row r="111" hidden="1" x14ac:dyDescent="0.35"/>
    <row r="112" hidden="1" x14ac:dyDescent="0.35"/>
    <row r="113" spans="1:32" hidden="1" x14ac:dyDescent="0.35"/>
    <row r="114" spans="1:32" hidden="1" x14ac:dyDescent="0.35"/>
    <row r="115" spans="1:32" hidden="1" x14ac:dyDescent="0.35"/>
    <row r="116" spans="1:32" ht="35" hidden="1" x14ac:dyDescent="0.35">
      <c r="A116" s="137">
        <v>6</v>
      </c>
      <c r="B116" s="280" t="s">
        <v>409</v>
      </c>
      <c r="C116" s="573">
        <v>24168</v>
      </c>
      <c r="D116" s="98">
        <f>DATE(YEAR(C116),MONTH(C116)+1,1)</f>
        <v>24198</v>
      </c>
      <c r="E116" s="98"/>
      <c r="F116" s="214" t="s">
        <v>410</v>
      </c>
      <c r="G116" s="155" t="s">
        <v>412</v>
      </c>
      <c r="H116" s="140">
        <v>0.3</v>
      </c>
      <c r="I116" s="161"/>
      <c r="J116" s="161" t="s">
        <v>394</v>
      </c>
      <c r="K116" s="161" t="s">
        <v>394</v>
      </c>
      <c r="L116" s="139"/>
      <c r="O116" s="228" t="e">
        <f>#REF!/#REF!</f>
        <v>#REF!</v>
      </c>
      <c r="P116" s="140" t="s">
        <v>411</v>
      </c>
      <c r="Q116" s="140"/>
      <c r="R116" s="139">
        <v>44927</v>
      </c>
      <c r="S116" s="140" t="str">
        <f>DATEDIF(D116,R116,"y")&amp;"t"&amp;DATEDIF(D116,R116,"ym")&amp;"th"</f>
        <v>56t9th</v>
      </c>
      <c r="T116" s="99"/>
      <c r="U116" s="99"/>
      <c r="V116" s="99"/>
      <c r="W116" s="98" t="s">
        <v>665</v>
      </c>
      <c r="X116" s="113" t="str">
        <f>QUOTIENT((VALUE(LEFT(W116,2))*12+VALUE(MID(W116,4,LEN(W116)-5))-(VALUE(LEFT(S116,2))*12+VALUE(MID(S116,4,LEN(S116)-5)))),12)&amp;"n"&amp;MOD(VALUE(LEFT(W116,2))*12+VALUE(MID(W116,4,LEN(W116)-5))-(VALUE(LEFT(S116,2))*12+VALUE(MID(S116,4,LEN(S116)-5))),12)&amp;"t"</f>
        <v>3n9t</v>
      </c>
      <c r="Y116" s="113"/>
      <c r="Z116" s="113"/>
      <c r="AA116" s="200" t="e">
        <f>SUM(AC116:AE116)</f>
        <v>#REF!</v>
      </c>
      <c r="AB116" s="200"/>
      <c r="AC116" s="163" t="e">
        <f>ROUND(IF(LEN(X116)&lt;3,VALUE(LEFT(X116,1))*3*O116,(VALUE(LEFT(X116,1))*3+IF(VALUE(MID(X116,3,LEN(X116)-3))&gt;6,2,IF(VALUE(MID(X116,3,LEN(X116)-3))&gt;0,1,0)))*O116),0)</f>
        <v>#REF!</v>
      </c>
      <c r="AD116" s="163" t="e">
        <f>ROUND(5*O116,0)</f>
        <v>#REF!</v>
      </c>
      <c r="AE116" s="164" t="e">
        <f>ROUND(((VALUE(LEFT(P116,2)-20))+IF(LEN(P116)&lt;4,0,IF(VALUE(MID(P116,4,LEN(P116)-4))&gt;6,1,IF(VALUE(MID(P116,4,LEN(P116)-4))&gt;2,0.5,0))))*O116*1/2,0)</f>
        <v>#REF!</v>
      </c>
      <c r="AF116" s="281" t="s">
        <v>408</v>
      </c>
    </row>
    <row r="117" spans="1:32" hidden="1" x14ac:dyDescent="0.35">
      <c r="A117" s="79"/>
      <c r="B117" s="267"/>
      <c r="C117" s="575"/>
      <c r="D117" s="81"/>
      <c r="E117" s="81"/>
      <c r="F117" s="182"/>
      <c r="G117" s="83"/>
      <c r="H117" s="82"/>
      <c r="I117" s="82"/>
      <c r="J117" s="112"/>
      <c r="K117" s="112"/>
      <c r="L117" s="81"/>
      <c r="O117" s="227"/>
      <c r="P117" s="82"/>
      <c r="Q117" s="82"/>
      <c r="R117" s="81"/>
      <c r="S117" s="82"/>
      <c r="T117" s="82"/>
      <c r="U117" s="82"/>
      <c r="V117" s="82"/>
      <c r="W117" s="81"/>
      <c r="X117" s="86"/>
      <c r="Y117" s="86"/>
      <c r="Z117" s="86"/>
      <c r="AA117" s="195"/>
      <c r="AB117" s="195"/>
      <c r="AC117" s="87"/>
      <c r="AD117" s="85"/>
      <c r="AE117" s="87"/>
      <c r="AF117" s="88"/>
    </row>
    <row r="118" spans="1:32" hidden="1" x14ac:dyDescent="0.35">
      <c r="A118" s="79"/>
      <c r="B118" s="267"/>
      <c r="C118" s="575"/>
      <c r="D118" s="81"/>
      <c r="E118" s="81"/>
      <c r="F118" s="182"/>
      <c r="G118" s="83"/>
      <c r="H118" s="82"/>
      <c r="I118" s="82"/>
      <c r="J118" s="112"/>
      <c r="K118" s="112"/>
      <c r="L118" s="81"/>
      <c r="O118" s="227"/>
      <c r="P118" s="82"/>
      <c r="Q118" s="82"/>
      <c r="R118" s="81"/>
      <c r="S118" s="82"/>
      <c r="T118" s="82"/>
      <c r="U118" s="82"/>
      <c r="V118" s="82"/>
      <c r="W118" s="81"/>
      <c r="X118" s="86"/>
      <c r="Y118" s="86"/>
      <c r="Z118" s="86"/>
      <c r="AA118" s="195"/>
      <c r="AB118" s="195"/>
      <c r="AC118" s="87"/>
      <c r="AD118" s="85"/>
      <c r="AE118" s="87"/>
      <c r="AF118" s="88"/>
    </row>
    <row r="119" spans="1:32" hidden="1" x14ac:dyDescent="0.35">
      <c r="A119" s="79"/>
      <c r="B119" s="267"/>
      <c r="C119" s="575"/>
      <c r="D119" s="81"/>
      <c r="E119" s="81"/>
      <c r="F119" s="182"/>
      <c r="G119" s="83"/>
      <c r="H119" s="82"/>
      <c r="I119" s="82"/>
      <c r="J119" s="112"/>
      <c r="K119" s="112"/>
      <c r="L119" s="81"/>
      <c r="O119" s="227"/>
      <c r="P119" s="82"/>
      <c r="Q119" s="82"/>
      <c r="R119" s="81"/>
      <c r="S119" s="82"/>
      <c r="T119" s="82"/>
      <c r="U119" s="82"/>
      <c r="V119" s="82"/>
      <c r="W119" s="81"/>
      <c r="X119" s="86"/>
      <c r="Y119" s="86"/>
      <c r="Z119" s="86"/>
      <c r="AA119" s="195"/>
      <c r="AB119" s="195"/>
      <c r="AC119" s="87"/>
      <c r="AD119" s="85"/>
      <c r="AE119" s="87"/>
      <c r="AF119" s="88"/>
    </row>
    <row r="120" spans="1:32" hidden="1" x14ac:dyDescent="0.35">
      <c r="A120" s="79"/>
      <c r="B120" s="267"/>
      <c r="C120" s="575"/>
      <c r="D120" s="81"/>
      <c r="E120" s="81"/>
      <c r="F120" s="182"/>
      <c r="G120" s="83"/>
      <c r="H120" s="82"/>
      <c r="I120" s="82"/>
      <c r="J120" s="112"/>
      <c r="K120" s="112"/>
      <c r="L120" s="81"/>
      <c r="O120" s="227"/>
      <c r="P120" s="82"/>
      <c r="Q120" s="82"/>
      <c r="R120" s="81"/>
      <c r="S120" s="82"/>
      <c r="T120" s="82"/>
      <c r="U120" s="82"/>
      <c r="V120" s="82"/>
      <c r="W120" s="81"/>
      <c r="X120" s="86"/>
      <c r="Y120" s="86"/>
      <c r="Z120" s="86"/>
      <c r="AA120" s="195"/>
      <c r="AB120" s="195"/>
      <c r="AC120" s="87"/>
      <c r="AD120" s="85"/>
      <c r="AE120" s="87"/>
      <c r="AF120" s="88"/>
    </row>
    <row r="121" spans="1:32" hidden="1" x14ac:dyDescent="0.35">
      <c r="A121" s="79"/>
      <c r="B121" s="267"/>
      <c r="C121" s="575"/>
      <c r="D121" s="81"/>
      <c r="E121" s="81"/>
      <c r="F121" s="182"/>
      <c r="G121" s="83"/>
      <c r="H121" s="82"/>
      <c r="I121" s="82"/>
      <c r="J121" s="112"/>
      <c r="K121" s="112"/>
      <c r="L121" s="81"/>
      <c r="O121" s="227"/>
      <c r="P121" s="82"/>
      <c r="Q121" s="82"/>
      <c r="R121" s="81"/>
      <c r="S121" s="82"/>
      <c r="T121" s="82"/>
      <c r="U121" s="82"/>
      <c r="V121" s="82"/>
      <c r="W121" s="81"/>
      <c r="X121" s="86"/>
      <c r="Y121" s="86"/>
      <c r="Z121" s="86"/>
      <c r="AA121" s="195"/>
      <c r="AB121" s="195"/>
      <c r="AC121" s="87"/>
      <c r="AD121" s="85"/>
      <c r="AE121" s="87"/>
      <c r="AF121" s="88"/>
    </row>
    <row r="122" spans="1:32" hidden="1" x14ac:dyDescent="0.35">
      <c r="A122" s="79"/>
      <c r="B122" s="267"/>
      <c r="C122" s="575"/>
      <c r="D122" s="81"/>
      <c r="E122" s="81"/>
      <c r="F122" s="182"/>
      <c r="G122" s="83"/>
      <c r="H122" s="82"/>
      <c r="I122" s="82"/>
      <c r="J122" s="112"/>
      <c r="K122" s="112"/>
      <c r="L122" s="81"/>
      <c r="O122" s="227"/>
      <c r="P122" s="82"/>
      <c r="Q122" s="82"/>
      <c r="R122" s="81"/>
      <c r="S122" s="82"/>
      <c r="T122" s="82"/>
      <c r="U122" s="82"/>
      <c r="V122" s="82"/>
      <c r="W122" s="81"/>
      <c r="X122" s="86"/>
      <c r="Y122" s="86"/>
      <c r="Z122" s="86"/>
      <c r="AA122" s="195"/>
      <c r="AB122" s="195"/>
      <c r="AC122" s="87"/>
      <c r="AD122" s="85"/>
      <c r="AE122" s="87"/>
      <c r="AF122" s="88"/>
    </row>
    <row r="123" spans="1:32" hidden="1" x14ac:dyDescent="0.35">
      <c r="A123" s="79"/>
      <c r="B123" s="267"/>
      <c r="C123" s="575"/>
      <c r="D123" s="81"/>
      <c r="E123" s="81"/>
      <c r="F123" s="182"/>
      <c r="G123" s="83"/>
      <c r="H123" s="82"/>
      <c r="I123" s="82"/>
      <c r="J123" s="112"/>
      <c r="K123" s="112"/>
      <c r="L123" s="81"/>
      <c r="O123" s="227"/>
      <c r="P123" s="82"/>
      <c r="Q123" s="82"/>
      <c r="R123" s="81"/>
      <c r="S123" s="82"/>
      <c r="T123" s="82"/>
      <c r="U123" s="82"/>
      <c r="V123" s="82"/>
      <c r="W123" s="81"/>
      <c r="X123" s="86"/>
      <c r="Y123" s="86"/>
      <c r="Z123" s="86"/>
      <c r="AA123" s="195"/>
      <c r="AB123" s="195"/>
      <c r="AC123" s="87"/>
      <c r="AD123" s="85"/>
      <c r="AE123" s="87"/>
      <c r="AF123" s="88"/>
    </row>
    <row r="124" spans="1:32" hidden="1" x14ac:dyDescent="0.35">
      <c r="A124" s="79"/>
      <c r="B124" s="267"/>
      <c r="C124" s="575"/>
      <c r="D124" s="81"/>
      <c r="E124" s="81"/>
      <c r="F124" s="182"/>
      <c r="G124" s="83"/>
      <c r="H124" s="82"/>
      <c r="I124" s="82"/>
      <c r="J124" s="112"/>
      <c r="K124" s="112"/>
      <c r="L124" s="81"/>
      <c r="O124" s="227"/>
      <c r="P124" s="82"/>
      <c r="Q124" s="82"/>
      <c r="R124" s="81"/>
      <c r="S124" s="82"/>
      <c r="T124" s="82"/>
      <c r="U124" s="82"/>
      <c r="V124" s="82"/>
      <c r="W124" s="81"/>
      <c r="X124" s="86"/>
      <c r="Y124" s="86"/>
      <c r="Z124" s="86"/>
      <c r="AA124" s="195"/>
      <c r="AB124" s="195"/>
      <c r="AC124" s="87"/>
      <c r="AD124" s="85"/>
      <c r="AE124" s="87"/>
      <c r="AF124" s="88"/>
    </row>
    <row r="125" spans="1:32" hidden="1" x14ac:dyDescent="0.35">
      <c r="A125" s="79"/>
      <c r="B125" s="267"/>
      <c r="C125" s="575"/>
      <c r="D125" s="81"/>
      <c r="E125" s="81"/>
      <c r="F125" s="182"/>
      <c r="G125" s="83"/>
      <c r="H125" s="82"/>
      <c r="I125" s="82"/>
      <c r="J125" s="112"/>
      <c r="K125" s="112"/>
      <c r="L125" s="81"/>
      <c r="O125" s="227"/>
      <c r="P125" s="82"/>
      <c r="Q125" s="82"/>
      <c r="R125" s="81"/>
      <c r="S125" s="82"/>
      <c r="T125" s="82"/>
      <c r="U125" s="82"/>
      <c r="V125" s="82"/>
      <c r="W125" s="81"/>
      <c r="X125" s="86"/>
      <c r="Y125" s="86"/>
      <c r="Z125" s="86"/>
      <c r="AA125" s="195"/>
      <c r="AB125" s="195"/>
      <c r="AC125" s="87"/>
      <c r="AD125" s="85"/>
      <c r="AE125" s="87"/>
      <c r="AF125" s="88"/>
    </row>
    <row r="126" spans="1:32" hidden="1" x14ac:dyDescent="0.35">
      <c r="A126" s="79"/>
      <c r="B126" s="267"/>
      <c r="C126" s="575"/>
      <c r="D126" s="81"/>
      <c r="E126" s="81"/>
      <c r="F126" s="182"/>
      <c r="G126" s="83"/>
      <c r="H126" s="82"/>
      <c r="I126" s="82"/>
      <c r="J126" s="112"/>
      <c r="K126" s="112"/>
      <c r="L126" s="81"/>
      <c r="O126" s="227"/>
      <c r="P126" s="82"/>
      <c r="Q126" s="82"/>
      <c r="R126" s="81"/>
      <c r="S126" s="82"/>
      <c r="T126" s="82"/>
      <c r="U126" s="82"/>
      <c r="V126" s="82"/>
      <c r="W126" s="81"/>
      <c r="X126" s="86"/>
      <c r="Y126" s="86"/>
      <c r="Z126" s="86"/>
      <c r="AA126" s="195"/>
      <c r="AB126" s="195"/>
      <c r="AC126" s="87"/>
      <c r="AD126" s="85"/>
      <c r="AE126" s="87"/>
      <c r="AF126" s="88"/>
    </row>
    <row r="127" spans="1:32" hidden="1" x14ac:dyDescent="0.35">
      <c r="A127" s="89"/>
      <c r="B127" s="268"/>
      <c r="C127" s="576"/>
      <c r="D127" s="91"/>
      <c r="E127" s="91"/>
      <c r="F127" s="183"/>
      <c r="G127" s="91"/>
      <c r="H127" s="91"/>
      <c r="I127" s="91"/>
      <c r="J127" s="91"/>
      <c r="K127" s="91"/>
      <c r="L127" s="91"/>
      <c r="O127" s="470"/>
      <c r="P127" s="91"/>
      <c r="Q127" s="91"/>
      <c r="R127" s="91"/>
      <c r="S127" s="91"/>
      <c r="T127" s="91"/>
      <c r="U127" s="91"/>
      <c r="V127" s="91"/>
      <c r="W127" s="91"/>
      <c r="X127" s="91"/>
      <c r="Y127" s="91"/>
      <c r="Z127" s="91"/>
      <c r="AA127" s="231"/>
      <c r="AB127" s="231"/>
      <c r="AC127" s="91"/>
      <c r="AD127" s="91"/>
      <c r="AE127" s="93"/>
      <c r="AF127" s="95"/>
    </row>
    <row r="128" spans="1:32" hidden="1" x14ac:dyDescent="0.35"/>
    <row r="129" hidden="1" x14ac:dyDescent="0.35"/>
    <row r="130" hidden="1" x14ac:dyDescent="0.35"/>
  </sheetData>
  <autoFilter ref="A10:XEI30"/>
  <mergeCells count="36">
    <mergeCell ref="P7:Q8"/>
    <mergeCell ref="A4:AF4"/>
    <mergeCell ref="A5:AF5"/>
    <mergeCell ref="A1:C1"/>
    <mergeCell ref="A2:C2"/>
    <mergeCell ref="A3:C3"/>
    <mergeCell ref="AA1:AE1"/>
    <mergeCell ref="AB8:AB9"/>
    <mergeCell ref="AA7:AE7"/>
    <mergeCell ref="S7:S9"/>
    <mergeCell ref="AC8:AE8"/>
    <mergeCell ref="AA8:AA9"/>
    <mergeCell ref="Y7:Y9"/>
    <mergeCell ref="Z7:Z9"/>
    <mergeCell ref="T7:V7"/>
    <mergeCell ref="H8:H9"/>
    <mergeCell ref="I8:I9"/>
    <mergeCell ref="K8:K9"/>
    <mergeCell ref="L8:L9"/>
    <mergeCell ref="O7:O9"/>
    <mergeCell ref="D7:D9"/>
    <mergeCell ref="E7:E9"/>
    <mergeCell ref="F7:F9"/>
    <mergeCell ref="A6:AF6"/>
    <mergeCell ref="A7:A9"/>
    <mergeCell ref="B7:B9"/>
    <mergeCell ref="C7:C9"/>
    <mergeCell ref="R7:R9"/>
    <mergeCell ref="X7:X9"/>
    <mergeCell ref="AF7:AF9"/>
    <mergeCell ref="W7:W9"/>
    <mergeCell ref="G7:L7"/>
    <mergeCell ref="M7:M9"/>
    <mergeCell ref="N7:N9"/>
    <mergeCell ref="J8:J9"/>
    <mergeCell ref="G8:G9"/>
  </mergeCells>
  <phoneticPr fontId="92" type="noConversion"/>
  <pageMargins left="0.2" right="0.15748031496063" top="0.47244094488188998" bottom="0.196850393700787" header="0.47244094488188998" footer="0.196850393700787"/>
  <pageSetup paperSize="9" scale="58" orientation="landscape" verticalDpi="300" r:id="rId1"/>
  <headerFooter>
    <oddFooter>Page &amp;P</oddFooter>
  </headerFooter>
  <colBreaks count="1" manualBreakCount="1">
    <brk id="32"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G17"/>
  <sheetViews>
    <sheetView tabSelected="1" topLeftCell="B1" zoomScale="90" zoomScaleNormal="90" workbookViewId="0">
      <selection activeCell="N8" sqref="N8"/>
    </sheetView>
  </sheetViews>
  <sheetFormatPr defaultColWidth="9.1796875" defaultRowHeight="15.5" x14ac:dyDescent="0.35"/>
  <cols>
    <col min="1" max="1" width="7.54296875" style="116" hidden="1" customWidth="1"/>
    <col min="2" max="2" width="3.453125" style="626" customWidth="1"/>
    <col min="3" max="3" width="18.26953125" style="626" customWidth="1"/>
    <col min="4" max="4" width="15" style="627" customWidth="1"/>
    <col min="5" max="5" width="9.453125" style="626" hidden="1" customWidth="1"/>
    <col min="6" max="6" width="17.7265625" style="626" customWidth="1"/>
    <col min="7" max="7" width="8.7265625" style="591" customWidth="1"/>
    <col min="8" max="8" width="8.1796875" style="591" customWidth="1"/>
    <col min="9" max="9" width="9.7265625" style="591" customWidth="1"/>
    <col min="10" max="10" width="10.26953125" style="591" customWidth="1"/>
    <col min="11" max="11" width="9.453125" style="591" customWidth="1"/>
    <col min="12" max="12" width="8.26953125" style="591" customWidth="1"/>
    <col min="13" max="13" width="9.54296875" style="591" customWidth="1"/>
    <col min="14" max="14" width="15.1796875" style="591" customWidth="1"/>
    <col min="15" max="15" width="19" style="626" customWidth="1"/>
    <col min="16" max="16" width="7.54296875" style="626" customWidth="1"/>
    <col min="17" max="17" width="12" style="626" customWidth="1"/>
    <col min="18" max="18" width="17.1796875" style="626" customWidth="1"/>
    <col min="19" max="19" width="11.1796875" style="626" customWidth="1"/>
    <col min="20" max="20" width="8.81640625" style="626" customWidth="1"/>
    <col min="21" max="21" width="21.26953125" style="188" customWidth="1"/>
    <col min="22" max="22" width="18.26953125" style="626" customWidth="1"/>
    <col min="23" max="23" width="19.81640625" style="626" customWidth="1"/>
    <col min="24" max="24" width="18.81640625" style="626" customWidth="1"/>
    <col min="25" max="25" width="25.81640625" style="626" customWidth="1"/>
    <col min="26" max="16384" width="9.1796875" style="626"/>
  </cols>
  <sheetData>
    <row r="1" spans="1:33" s="625" customFormat="1" ht="19" x14ac:dyDescent="0.3">
      <c r="A1" s="696" t="s">
        <v>837</v>
      </c>
      <c r="B1" s="696"/>
      <c r="C1" s="696"/>
      <c r="D1" s="696"/>
      <c r="E1" s="622"/>
      <c r="F1" s="622"/>
      <c r="G1" s="622"/>
      <c r="H1" s="622"/>
      <c r="I1" s="622"/>
      <c r="J1" s="622"/>
      <c r="K1" s="622"/>
      <c r="L1" s="622"/>
      <c r="M1" s="622"/>
      <c r="N1" s="725" t="s">
        <v>826</v>
      </c>
      <c r="O1" s="725"/>
      <c r="P1" s="725"/>
      <c r="Q1" s="725"/>
      <c r="R1" s="725"/>
      <c r="S1" s="725"/>
      <c r="T1" s="725"/>
      <c r="U1" s="725"/>
      <c r="V1" s="725"/>
      <c r="W1" s="725"/>
      <c r="X1" s="725"/>
      <c r="Y1" s="622"/>
      <c r="Z1" s="622"/>
      <c r="AF1" s="623"/>
    </row>
    <row r="2" spans="1:33" s="625" customFormat="1" ht="18" x14ac:dyDescent="0.3">
      <c r="A2" s="695"/>
      <c r="B2" s="695"/>
      <c r="C2" s="695"/>
      <c r="D2" s="695"/>
      <c r="E2" s="622"/>
      <c r="F2" s="622"/>
      <c r="G2" s="622"/>
      <c r="H2" s="622"/>
      <c r="I2" s="622"/>
      <c r="J2" s="622"/>
      <c r="K2" s="622"/>
      <c r="L2" s="622"/>
      <c r="M2" s="622"/>
      <c r="N2" s="622"/>
      <c r="O2" s="622"/>
      <c r="P2" s="622"/>
      <c r="Q2" s="622"/>
      <c r="R2" s="622"/>
      <c r="S2" s="622"/>
      <c r="T2" s="622"/>
      <c r="U2" s="622"/>
      <c r="V2" s="622"/>
      <c r="W2" s="622"/>
      <c r="X2" s="622"/>
      <c r="Y2" s="622"/>
      <c r="Z2" s="622"/>
      <c r="AA2" s="622"/>
      <c r="AB2" s="622"/>
      <c r="AC2" s="622"/>
      <c r="AD2" s="622"/>
      <c r="AE2" s="622"/>
      <c r="AF2" s="622"/>
    </row>
    <row r="3" spans="1:33" s="625" customFormat="1" ht="17.5" x14ac:dyDescent="0.3">
      <c r="A3" s="696" t="s">
        <v>825</v>
      </c>
      <c r="B3" s="696"/>
      <c r="C3" s="696"/>
      <c r="D3" s="696"/>
      <c r="E3" s="622"/>
      <c r="F3" s="622"/>
      <c r="G3" s="622"/>
      <c r="H3" s="622"/>
      <c r="I3" s="622"/>
      <c r="J3" s="622"/>
      <c r="K3" s="622"/>
      <c r="L3" s="622"/>
      <c r="M3" s="622"/>
      <c r="N3" s="622"/>
      <c r="O3" s="622"/>
      <c r="P3" s="622"/>
      <c r="Q3" s="622"/>
      <c r="R3" s="622"/>
      <c r="S3" s="622"/>
      <c r="T3" s="622"/>
      <c r="U3" s="622"/>
      <c r="V3" s="622"/>
      <c r="W3" s="622"/>
      <c r="X3" s="622"/>
      <c r="Y3" s="622"/>
      <c r="Z3" s="622"/>
      <c r="AA3" s="622"/>
      <c r="AB3" s="622"/>
      <c r="AC3" s="622"/>
      <c r="AD3" s="622"/>
      <c r="AE3" s="622"/>
      <c r="AF3" s="622"/>
    </row>
    <row r="4" spans="1:33" s="625" customFormat="1" ht="17.5" x14ac:dyDescent="0.3">
      <c r="A4" s="459" t="s">
        <v>827</v>
      </c>
      <c r="B4" s="696" t="s">
        <v>839</v>
      </c>
      <c r="C4" s="696"/>
      <c r="D4" s="696"/>
      <c r="E4" s="696"/>
      <c r="F4" s="696"/>
      <c r="G4" s="696"/>
      <c r="H4" s="696"/>
      <c r="I4" s="696"/>
      <c r="J4" s="696"/>
      <c r="K4" s="696"/>
      <c r="L4" s="696"/>
      <c r="M4" s="696"/>
      <c r="N4" s="696"/>
      <c r="O4" s="696"/>
      <c r="P4" s="696"/>
      <c r="Q4" s="696"/>
      <c r="R4" s="696"/>
      <c r="S4" s="696"/>
      <c r="T4" s="696"/>
      <c r="U4" s="696"/>
      <c r="V4" s="696"/>
      <c r="W4" s="696"/>
      <c r="X4" s="696"/>
      <c r="Y4" s="696"/>
      <c r="Z4" s="459"/>
      <c r="AA4" s="459"/>
      <c r="AB4" s="459"/>
      <c r="AC4" s="459"/>
      <c r="AD4" s="459"/>
      <c r="AE4" s="459"/>
      <c r="AF4" s="459"/>
      <c r="AG4" s="459"/>
    </row>
    <row r="5" spans="1:33" s="625" customFormat="1" ht="18" x14ac:dyDescent="0.3">
      <c r="A5" s="624" t="s">
        <v>828</v>
      </c>
      <c r="B5" s="724" t="s">
        <v>840</v>
      </c>
      <c r="C5" s="724"/>
      <c r="D5" s="724"/>
      <c r="E5" s="724"/>
      <c r="F5" s="724"/>
      <c r="G5" s="724"/>
      <c r="H5" s="724"/>
      <c r="I5" s="724"/>
      <c r="J5" s="724"/>
      <c r="K5" s="724"/>
      <c r="L5" s="724"/>
      <c r="M5" s="724"/>
      <c r="N5" s="724"/>
      <c r="O5" s="724"/>
      <c r="P5" s="724"/>
      <c r="Q5" s="724"/>
      <c r="R5" s="724"/>
      <c r="S5" s="724"/>
      <c r="T5" s="724"/>
      <c r="U5" s="724"/>
      <c r="V5" s="724"/>
      <c r="W5" s="724"/>
      <c r="X5" s="724"/>
      <c r="Y5" s="724"/>
      <c r="Z5" s="624"/>
      <c r="AA5" s="624"/>
      <c r="AB5" s="624"/>
      <c r="AC5" s="624"/>
      <c r="AD5" s="624"/>
      <c r="AE5" s="624"/>
      <c r="AF5" s="624"/>
      <c r="AG5" s="624"/>
    </row>
    <row r="6" spans="1:33" s="127" customFormat="1" x14ac:dyDescent="0.35">
      <c r="A6" s="270"/>
      <c r="B6" s="283"/>
      <c r="C6" s="283"/>
      <c r="D6" s="589"/>
      <c r="E6" s="283"/>
      <c r="F6" s="283"/>
      <c r="G6" s="283"/>
      <c r="H6" s="283"/>
      <c r="I6" s="283"/>
      <c r="J6" s="283"/>
      <c r="K6" s="283"/>
      <c r="L6" s="283"/>
      <c r="M6" s="283"/>
      <c r="N6" s="283"/>
      <c r="O6" s="283"/>
      <c r="P6" s="283"/>
      <c r="Q6" s="283"/>
      <c r="R6" s="283"/>
      <c r="S6" s="283"/>
      <c r="T6" s="283"/>
      <c r="U6" s="585"/>
      <c r="V6" s="283"/>
      <c r="W6" s="283"/>
      <c r="X6" s="283"/>
      <c r="Y6" s="283"/>
    </row>
    <row r="7" spans="1:33" s="631" customFormat="1" ht="35.25" customHeight="1" x14ac:dyDescent="0.4">
      <c r="A7" s="629"/>
      <c r="B7" s="726" t="s">
        <v>3</v>
      </c>
      <c r="C7" s="726" t="s">
        <v>4</v>
      </c>
      <c r="D7" s="727" t="s">
        <v>5</v>
      </c>
      <c r="E7" s="630"/>
      <c r="F7" s="726" t="s">
        <v>7</v>
      </c>
      <c r="G7" s="728" t="s">
        <v>785</v>
      </c>
      <c r="H7" s="728"/>
      <c r="I7" s="728"/>
      <c r="J7" s="728"/>
      <c r="K7" s="728"/>
      <c r="L7" s="728"/>
      <c r="M7" s="728"/>
      <c r="N7" s="728"/>
      <c r="O7" s="726" t="s">
        <v>98</v>
      </c>
      <c r="P7" s="726" t="s">
        <v>782</v>
      </c>
      <c r="Q7" s="726"/>
      <c r="R7" s="726" t="s">
        <v>15</v>
      </c>
      <c r="S7" s="726" t="s">
        <v>16</v>
      </c>
      <c r="T7" s="726" t="s">
        <v>794</v>
      </c>
      <c r="U7" s="729" t="s">
        <v>95</v>
      </c>
      <c r="V7" s="730"/>
      <c r="W7" s="730"/>
      <c r="X7" s="730"/>
      <c r="Y7" s="726" t="s">
        <v>17</v>
      </c>
    </row>
    <row r="8" spans="1:33" s="631" customFormat="1" ht="230.25" customHeight="1" x14ac:dyDescent="0.4">
      <c r="A8" s="629"/>
      <c r="B8" s="726"/>
      <c r="C8" s="726"/>
      <c r="D8" s="727"/>
      <c r="E8" s="630"/>
      <c r="F8" s="726"/>
      <c r="G8" s="630" t="s">
        <v>792</v>
      </c>
      <c r="H8" s="630" t="s">
        <v>179</v>
      </c>
      <c r="I8" s="630" t="s">
        <v>177</v>
      </c>
      <c r="J8" s="630" t="s">
        <v>176</v>
      </c>
      <c r="K8" s="630" t="s">
        <v>798</v>
      </c>
      <c r="L8" s="630" t="s">
        <v>790</v>
      </c>
      <c r="M8" s="630" t="s">
        <v>90</v>
      </c>
      <c r="N8" s="632" t="s">
        <v>88</v>
      </c>
      <c r="O8" s="726"/>
      <c r="P8" s="630" t="s">
        <v>22</v>
      </c>
      <c r="Q8" s="630" t="s">
        <v>23</v>
      </c>
      <c r="R8" s="726"/>
      <c r="S8" s="726"/>
      <c r="T8" s="726"/>
      <c r="U8" s="633" t="s">
        <v>24</v>
      </c>
      <c r="V8" s="630" t="s">
        <v>795</v>
      </c>
      <c r="W8" s="630" t="s">
        <v>796</v>
      </c>
      <c r="X8" s="630" t="s">
        <v>797</v>
      </c>
      <c r="Y8" s="726"/>
    </row>
    <row r="9" spans="1:33" s="649" customFormat="1" ht="68.25" customHeight="1" x14ac:dyDescent="0.4">
      <c r="A9" s="624" t="s">
        <v>400</v>
      </c>
      <c r="B9" s="630">
        <v>1</v>
      </c>
      <c r="C9" s="634" t="s">
        <v>832</v>
      </c>
      <c r="D9" s="635">
        <v>30790</v>
      </c>
      <c r="E9" s="636">
        <f t="shared" ref="E9:E14" si="0">DATE(YEAR(D9),MONTH(D9)+1,1)</f>
        <v>30803</v>
      </c>
      <c r="F9" s="637" t="s">
        <v>833</v>
      </c>
      <c r="G9" s="632">
        <v>4.74</v>
      </c>
      <c r="H9" s="632"/>
      <c r="I9" s="638"/>
      <c r="J9" s="639"/>
      <c r="K9" s="639"/>
      <c r="L9" s="639">
        <v>0.55000000000000004</v>
      </c>
      <c r="M9" s="640">
        <f>G9+H9+G9*I9+(G9+H9+G9*I9)*J9+(G9+H9+G9*I9)*K9+(G9+H9+G9*I9)*L9</f>
        <v>7.3470000000000004</v>
      </c>
      <c r="N9" s="641">
        <v>2340000</v>
      </c>
      <c r="O9" s="642">
        <f t="shared" ref="O9:O14" si="1">M9*N9</f>
        <v>17191980</v>
      </c>
      <c r="P9" s="630" t="s">
        <v>824</v>
      </c>
      <c r="Q9" s="630"/>
      <c r="R9" s="643">
        <v>46023</v>
      </c>
      <c r="S9" s="644" t="str">
        <f t="shared" ref="S9:S14" si="2">DATEDIF(E9,R9,"y")&amp;"t"&amp;DATEDIF(E9,R9,"ym")&amp;"th"</f>
        <v>41t8th</v>
      </c>
      <c r="T9" s="645"/>
      <c r="U9" s="646">
        <f t="shared" ref="U9:U14" si="3">SUM(V9:X9)</f>
        <v>1315186470</v>
      </c>
      <c r="V9" s="647">
        <f t="shared" ref="V9:V14" si="4">ROUND(IF((VALUE(LEFT(P9,2)+IF(MID(P9,4,2)&gt;6,1,0.5)))&gt;4,60,(VALUE(LEFT(P9,2)*12+MID(P9,4,2))))*O9*0.8,0)</f>
        <v>825215040</v>
      </c>
      <c r="W9" s="647">
        <f t="shared" ref="W9:W14" si="5">ROUND((VALUE(LEFT(P9,2)+IF(VALUE(MID(P9,4,2))&gt;6,1,IF(VALUE(MID(P9,4,2))&gt;0,0.5,0))))*1.5*O9,0)</f>
        <v>438395490</v>
      </c>
      <c r="X9" s="647">
        <f t="shared" ref="X9:X14" si="6">ROUND(3*O9,0)</f>
        <v>51575940</v>
      </c>
      <c r="Y9" s="648"/>
    </row>
    <row r="10" spans="1:33" s="631" customFormat="1" ht="68.25" customHeight="1" x14ac:dyDescent="0.4">
      <c r="A10" s="629" t="s">
        <v>400</v>
      </c>
      <c r="B10" s="650">
        <v>1</v>
      </c>
      <c r="C10" s="651"/>
      <c r="D10" s="652">
        <v>33466</v>
      </c>
      <c r="E10" s="653">
        <f t="shared" si="0"/>
        <v>33482</v>
      </c>
      <c r="F10" s="654"/>
      <c r="G10" s="655"/>
      <c r="H10" s="655"/>
      <c r="I10" s="656"/>
      <c r="J10" s="657"/>
      <c r="K10" s="657"/>
      <c r="L10" s="657"/>
      <c r="M10" s="658"/>
      <c r="N10" s="659">
        <v>2340000</v>
      </c>
      <c r="O10" s="660">
        <f t="shared" si="1"/>
        <v>0</v>
      </c>
      <c r="P10" s="650" t="s">
        <v>812</v>
      </c>
      <c r="Q10" s="650"/>
      <c r="R10" s="661">
        <v>45748</v>
      </c>
      <c r="S10" s="662" t="str">
        <f t="shared" si="2"/>
        <v>33t7th</v>
      </c>
      <c r="T10" s="663"/>
      <c r="U10" s="664">
        <f t="shared" si="3"/>
        <v>0</v>
      </c>
      <c r="V10" s="665">
        <f t="shared" si="4"/>
        <v>0</v>
      </c>
      <c r="W10" s="665">
        <f t="shared" si="5"/>
        <v>0</v>
      </c>
      <c r="X10" s="665">
        <f t="shared" si="6"/>
        <v>0</v>
      </c>
      <c r="Y10" s="654"/>
    </row>
    <row r="11" spans="1:33" s="631" customFormat="1" ht="68.25" customHeight="1" x14ac:dyDescent="0.4">
      <c r="A11" s="629" t="s">
        <v>400</v>
      </c>
      <c r="B11" s="650">
        <v>1</v>
      </c>
      <c r="C11" s="651"/>
      <c r="D11" s="652">
        <v>31772</v>
      </c>
      <c r="E11" s="653">
        <f t="shared" si="0"/>
        <v>31778</v>
      </c>
      <c r="F11" s="654"/>
      <c r="G11" s="655"/>
      <c r="H11" s="655"/>
      <c r="I11" s="656"/>
      <c r="J11" s="657"/>
      <c r="K11" s="657"/>
      <c r="L11" s="657"/>
      <c r="M11" s="658"/>
      <c r="N11" s="659">
        <v>2340000</v>
      </c>
      <c r="O11" s="660">
        <f t="shared" si="1"/>
        <v>0</v>
      </c>
      <c r="P11" s="650" t="s">
        <v>813</v>
      </c>
      <c r="Q11" s="650"/>
      <c r="R11" s="661">
        <v>45748</v>
      </c>
      <c r="S11" s="662" t="str">
        <f t="shared" si="2"/>
        <v>38t3th</v>
      </c>
      <c r="T11" s="663"/>
      <c r="U11" s="664">
        <f t="shared" si="3"/>
        <v>0</v>
      </c>
      <c r="V11" s="665">
        <f t="shared" si="4"/>
        <v>0</v>
      </c>
      <c r="W11" s="665">
        <f t="shared" si="5"/>
        <v>0</v>
      </c>
      <c r="X11" s="665">
        <f t="shared" si="6"/>
        <v>0</v>
      </c>
      <c r="Y11" s="654"/>
    </row>
    <row r="12" spans="1:33" s="631" customFormat="1" ht="68.25" customHeight="1" x14ac:dyDescent="0.4">
      <c r="A12" s="629" t="s">
        <v>400</v>
      </c>
      <c r="B12" s="650">
        <v>1</v>
      </c>
      <c r="C12" s="651"/>
      <c r="D12" s="652">
        <v>24122</v>
      </c>
      <c r="E12" s="653">
        <f t="shared" si="0"/>
        <v>24139</v>
      </c>
      <c r="F12" s="654"/>
      <c r="G12" s="655"/>
      <c r="H12" s="655"/>
      <c r="I12" s="656"/>
      <c r="J12" s="657"/>
      <c r="K12" s="657"/>
      <c r="L12" s="657"/>
      <c r="M12" s="658"/>
      <c r="N12" s="659">
        <v>2340000</v>
      </c>
      <c r="O12" s="660">
        <f t="shared" si="1"/>
        <v>0</v>
      </c>
      <c r="P12" s="650" t="s">
        <v>814</v>
      </c>
      <c r="Q12" s="650"/>
      <c r="R12" s="661">
        <v>45748</v>
      </c>
      <c r="S12" s="662" t="str">
        <f t="shared" si="2"/>
        <v>59t2th</v>
      </c>
      <c r="T12" s="663"/>
      <c r="U12" s="664">
        <f t="shared" si="3"/>
        <v>0</v>
      </c>
      <c r="V12" s="665">
        <f t="shared" si="4"/>
        <v>0</v>
      </c>
      <c r="W12" s="665">
        <f t="shared" si="5"/>
        <v>0</v>
      </c>
      <c r="X12" s="665">
        <f t="shared" si="6"/>
        <v>0</v>
      </c>
      <c r="Y12" s="654"/>
    </row>
    <row r="13" spans="1:33" s="631" customFormat="1" ht="68.25" customHeight="1" x14ac:dyDescent="0.4">
      <c r="A13" s="629" t="s">
        <v>400</v>
      </c>
      <c r="B13" s="650">
        <v>1</v>
      </c>
      <c r="C13" s="651"/>
      <c r="D13" s="652">
        <v>29184</v>
      </c>
      <c r="E13" s="653">
        <f t="shared" si="0"/>
        <v>29190</v>
      </c>
      <c r="F13" s="654"/>
      <c r="G13" s="655"/>
      <c r="H13" s="655"/>
      <c r="I13" s="656"/>
      <c r="J13" s="657"/>
      <c r="K13" s="657"/>
      <c r="L13" s="657"/>
      <c r="M13" s="658"/>
      <c r="N13" s="659">
        <v>2340000</v>
      </c>
      <c r="O13" s="660">
        <f t="shared" si="1"/>
        <v>0</v>
      </c>
      <c r="P13" s="650" t="s">
        <v>815</v>
      </c>
      <c r="Q13" s="650"/>
      <c r="R13" s="661">
        <v>45748</v>
      </c>
      <c r="S13" s="662" t="str">
        <f t="shared" si="2"/>
        <v>45t4th</v>
      </c>
      <c r="T13" s="663"/>
      <c r="U13" s="664">
        <f t="shared" si="3"/>
        <v>0</v>
      </c>
      <c r="V13" s="665">
        <f t="shared" si="4"/>
        <v>0</v>
      </c>
      <c r="W13" s="665">
        <f t="shared" si="5"/>
        <v>0</v>
      </c>
      <c r="X13" s="665">
        <f t="shared" si="6"/>
        <v>0</v>
      </c>
      <c r="Y13" s="654"/>
    </row>
    <row r="14" spans="1:33" s="631" customFormat="1" ht="68.25" customHeight="1" x14ac:dyDescent="0.4">
      <c r="A14" s="629" t="s">
        <v>400</v>
      </c>
      <c r="B14" s="650">
        <v>1</v>
      </c>
      <c r="C14" s="651"/>
      <c r="D14" s="652" t="s">
        <v>811</v>
      </c>
      <c r="E14" s="653">
        <f t="shared" si="0"/>
        <v>28004</v>
      </c>
      <c r="F14" s="654"/>
      <c r="G14" s="655"/>
      <c r="H14" s="655"/>
      <c r="I14" s="656"/>
      <c r="J14" s="657"/>
      <c r="K14" s="657"/>
      <c r="L14" s="657"/>
      <c r="M14" s="658"/>
      <c r="N14" s="659">
        <v>2340000</v>
      </c>
      <c r="O14" s="660">
        <f t="shared" si="1"/>
        <v>0</v>
      </c>
      <c r="P14" s="650" t="s">
        <v>815</v>
      </c>
      <c r="Q14" s="650"/>
      <c r="R14" s="661">
        <v>45748</v>
      </c>
      <c r="S14" s="662" t="str">
        <f t="shared" si="2"/>
        <v>48t7th</v>
      </c>
      <c r="T14" s="663"/>
      <c r="U14" s="664">
        <f t="shared" si="3"/>
        <v>0</v>
      </c>
      <c r="V14" s="665">
        <f t="shared" si="4"/>
        <v>0</v>
      </c>
      <c r="W14" s="665">
        <f t="shared" si="5"/>
        <v>0</v>
      </c>
      <c r="X14" s="665">
        <f t="shared" si="6"/>
        <v>0</v>
      </c>
      <c r="Y14" s="654"/>
    </row>
    <row r="15" spans="1:33" ht="14" x14ac:dyDescent="0.3">
      <c r="G15" s="603"/>
      <c r="H15" s="604"/>
      <c r="I15" s="605"/>
      <c r="J15" s="606"/>
      <c r="K15" s="606"/>
      <c r="L15" s="606"/>
      <c r="M15" s="607"/>
      <c r="N15" s="608"/>
      <c r="V15" s="628"/>
    </row>
    <row r="16" spans="1:33" x14ac:dyDescent="0.3">
      <c r="G16" s="592"/>
      <c r="H16" s="593"/>
      <c r="I16" s="594"/>
      <c r="J16" s="595"/>
      <c r="K16" s="595"/>
      <c r="L16" s="595"/>
      <c r="M16" s="596"/>
      <c r="N16" s="597"/>
    </row>
    <row r="17" spans="7:14" x14ac:dyDescent="0.3">
      <c r="G17" s="592"/>
      <c r="H17" s="593"/>
      <c r="I17" s="594"/>
      <c r="J17" s="595"/>
      <c r="K17" s="595"/>
      <c r="L17" s="595"/>
      <c r="M17" s="596"/>
      <c r="N17" s="597"/>
    </row>
  </sheetData>
  <autoFilter ref="B7:Y14">
    <filterColumn colId="5" showButton="0"/>
    <filterColumn colId="6" showButton="0"/>
    <filterColumn colId="7" showButton="0"/>
    <filterColumn colId="8" hiddenButton="1" showButton="0"/>
    <filterColumn colId="9" hiddenButton="1" showButton="0"/>
    <filterColumn colId="10" showButton="0"/>
    <filterColumn colId="11" showButton="0"/>
    <filterColumn colId="12" showButton="0"/>
    <filterColumn colId="14" showButton="0"/>
    <filterColumn colId="19" showButton="0"/>
    <filterColumn colId="20" showButton="0"/>
    <filterColumn colId="21" showButton="0"/>
    <filterColumn colId="22" showButton="0"/>
  </autoFilter>
  <mergeCells count="18">
    <mergeCell ref="A1:D1"/>
    <mergeCell ref="A2:D2"/>
    <mergeCell ref="A3:D3"/>
    <mergeCell ref="B4:Y4"/>
    <mergeCell ref="B5:Y5"/>
    <mergeCell ref="N1:X1"/>
    <mergeCell ref="B7:B8"/>
    <mergeCell ref="C7:C8"/>
    <mergeCell ref="D7:D8"/>
    <mergeCell ref="F7:F8"/>
    <mergeCell ref="Y7:Y8"/>
    <mergeCell ref="O7:O8"/>
    <mergeCell ref="T7:T8"/>
    <mergeCell ref="G7:N7"/>
    <mergeCell ref="P7:Q7"/>
    <mergeCell ref="R7:R8"/>
    <mergeCell ref="U7:X7"/>
    <mergeCell ref="S7:S8"/>
  </mergeCells>
  <pageMargins left="0.25" right="0.25" top="0.75" bottom="0.75" header="0.3" footer="0.3"/>
  <pageSetup paperSize="9" scale="45"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58"/>
  <sheetViews>
    <sheetView topLeftCell="K7" zoomScale="142" zoomScaleNormal="142" workbookViewId="0">
      <selection activeCell="AC27" sqref="AC27"/>
    </sheetView>
  </sheetViews>
  <sheetFormatPr defaultRowHeight="14.5" x14ac:dyDescent="0.35"/>
  <cols>
    <col min="1" max="1" width="2.7265625" style="117" customWidth="1"/>
    <col min="2" max="2" width="11.7265625" style="117" customWidth="1"/>
    <col min="3" max="3" width="6.81640625" style="117" customWidth="1"/>
    <col min="4" max="4" width="4.26953125" style="117" customWidth="1"/>
    <col min="5" max="5" width="15.453125" style="211" customWidth="1"/>
    <col min="6" max="6" width="3.54296875" style="117" customWidth="1"/>
    <col min="7" max="7" width="6.54296875" style="117" customWidth="1"/>
    <col min="8" max="8" width="3.7265625" style="117" customWidth="1"/>
    <col min="9" max="9" width="6.7265625" style="117" customWidth="1"/>
    <col min="10" max="10" width="3.26953125" style="117" customWidth="1"/>
    <col min="11" max="11" width="7.1796875" style="117" customWidth="1"/>
    <col min="12" max="12" width="3.26953125" style="117" customWidth="1"/>
    <col min="13" max="13" width="7.54296875" style="117" customWidth="1"/>
    <col min="14" max="14" width="3.1796875" style="117" customWidth="1"/>
    <col min="15" max="15" width="4.7265625" style="117" customWidth="1"/>
    <col min="16" max="16" width="3.54296875" style="117" customWidth="1"/>
    <col min="17" max="17" width="6.81640625" style="117" customWidth="1"/>
    <col min="18" max="18" width="8.1796875" style="117" customWidth="1"/>
    <col min="19" max="19" width="5.1796875" style="117" customWidth="1"/>
    <col min="20" max="20" width="7.54296875" style="117" customWidth="1"/>
    <col min="21" max="21" width="8" style="117" customWidth="1"/>
    <col min="22" max="22" width="5.1796875" style="117" customWidth="1"/>
    <col min="23" max="23" width="12" style="188" customWidth="1"/>
    <col min="24" max="24" width="9.453125" style="117" customWidth="1"/>
    <col min="25" max="26" width="8.1796875" style="117" customWidth="1"/>
    <col min="27" max="27" width="21.7265625" style="117" customWidth="1"/>
  </cols>
  <sheetData>
    <row r="1" spans="1:27" ht="12" customHeight="1" x14ac:dyDescent="0.35">
      <c r="A1" s="739"/>
      <c r="B1" s="739"/>
      <c r="C1" s="739"/>
      <c r="D1" s="78"/>
      <c r="E1" s="78"/>
      <c r="F1" s="78"/>
      <c r="G1" s="78"/>
      <c r="H1" s="78"/>
      <c r="I1" s="78"/>
      <c r="J1" s="78"/>
      <c r="K1" s="78"/>
      <c r="L1" s="78"/>
      <c r="M1" s="78"/>
      <c r="N1" s="78"/>
      <c r="O1" s="78"/>
      <c r="P1" s="78"/>
      <c r="Q1" s="78"/>
      <c r="R1" s="78"/>
      <c r="S1" s="78"/>
      <c r="T1" s="78"/>
      <c r="U1" s="78"/>
      <c r="V1" s="78"/>
      <c r="W1" s="740" t="s">
        <v>237</v>
      </c>
      <c r="X1" s="740"/>
      <c r="Y1" s="740"/>
      <c r="Z1" s="740"/>
      <c r="AA1" s="740"/>
    </row>
    <row r="2" spans="1:27" ht="12" customHeight="1" x14ac:dyDescent="0.35">
      <c r="A2" s="739" t="s">
        <v>328</v>
      </c>
      <c r="B2" s="739"/>
      <c r="C2" s="739"/>
      <c r="D2" s="739"/>
      <c r="E2" s="78"/>
      <c r="F2" s="78"/>
      <c r="G2" s="78"/>
      <c r="H2" s="78"/>
      <c r="I2" s="78"/>
      <c r="J2" s="78"/>
      <c r="K2" s="78"/>
      <c r="L2" s="78"/>
      <c r="M2" s="78"/>
      <c r="N2" s="78"/>
      <c r="O2" s="78"/>
      <c r="P2" s="78"/>
      <c r="Q2" s="78"/>
      <c r="R2" s="78"/>
      <c r="S2" s="78"/>
      <c r="T2" s="78"/>
      <c r="U2" s="78"/>
      <c r="V2" s="78"/>
      <c r="W2" s="258"/>
      <c r="X2" s="739" t="s">
        <v>383</v>
      </c>
      <c r="Y2" s="739"/>
      <c r="Z2" s="739"/>
      <c r="AA2" s="739"/>
    </row>
    <row r="3" spans="1:27" ht="12" customHeight="1" x14ac:dyDescent="0.35">
      <c r="A3" s="743" t="s">
        <v>135</v>
      </c>
      <c r="B3" s="743"/>
      <c r="C3" s="743"/>
      <c r="D3" s="743"/>
      <c r="E3" s="78"/>
      <c r="F3" s="78"/>
      <c r="G3" s="78"/>
      <c r="H3" s="78"/>
      <c r="I3" s="78"/>
      <c r="J3" s="78"/>
      <c r="K3" s="78"/>
      <c r="L3" s="78"/>
      <c r="M3" s="78"/>
      <c r="N3" s="78"/>
      <c r="O3" s="78"/>
      <c r="P3" s="78"/>
      <c r="Q3" s="78"/>
      <c r="R3" s="78"/>
      <c r="S3" s="78"/>
      <c r="T3" s="78"/>
      <c r="U3" s="78"/>
      <c r="V3" s="78"/>
      <c r="W3" s="261"/>
      <c r="X3" s="743" t="s">
        <v>384</v>
      </c>
      <c r="Y3" s="743"/>
      <c r="Z3" s="743"/>
      <c r="AA3" s="743"/>
    </row>
    <row r="4" spans="1:27" s="125" customFormat="1" ht="13" x14ac:dyDescent="0.3">
      <c r="A4" s="741" t="s">
        <v>234</v>
      </c>
      <c r="B4" s="741"/>
      <c r="C4" s="741"/>
      <c r="D4" s="741"/>
      <c r="E4" s="741"/>
      <c r="F4" s="741"/>
      <c r="G4" s="741"/>
      <c r="H4" s="741"/>
      <c r="I4" s="741"/>
      <c r="J4" s="741"/>
      <c r="K4" s="741"/>
      <c r="L4" s="741"/>
      <c r="M4" s="741"/>
      <c r="N4" s="741"/>
      <c r="O4" s="741"/>
      <c r="P4" s="741"/>
      <c r="Q4" s="741"/>
      <c r="R4" s="741"/>
      <c r="S4" s="741"/>
      <c r="T4" s="741"/>
      <c r="U4" s="741"/>
      <c r="V4" s="741"/>
      <c r="W4" s="741"/>
      <c r="X4" s="741"/>
      <c r="Y4" s="741"/>
      <c r="Z4" s="741"/>
      <c r="AA4" s="741"/>
    </row>
    <row r="5" spans="1:27" s="125" customFormat="1" ht="15.75" customHeight="1" x14ac:dyDescent="0.3">
      <c r="A5" s="742" t="s">
        <v>235</v>
      </c>
      <c r="B5" s="742"/>
      <c r="C5" s="742"/>
      <c r="D5" s="742"/>
      <c r="E5" s="742"/>
      <c r="F5" s="742"/>
      <c r="G5" s="742"/>
      <c r="H5" s="742"/>
      <c r="I5" s="742"/>
      <c r="J5" s="742"/>
      <c r="K5" s="742"/>
      <c r="L5" s="742"/>
      <c r="M5" s="742"/>
      <c r="N5" s="742"/>
      <c r="O5" s="742"/>
      <c r="P5" s="742"/>
      <c r="Q5" s="742"/>
      <c r="R5" s="742"/>
      <c r="S5" s="742"/>
      <c r="T5" s="742"/>
      <c r="U5" s="742"/>
      <c r="V5" s="742"/>
      <c r="W5" s="742"/>
      <c r="X5" s="742"/>
      <c r="Y5" s="742"/>
      <c r="Z5" s="742"/>
      <c r="AA5" s="742"/>
    </row>
    <row r="6" spans="1:27" s="125" customFormat="1" ht="15.75" customHeight="1" thickBot="1" x14ac:dyDescent="0.35">
      <c r="A6" s="736" t="s">
        <v>385</v>
      </c>
      <c r="B6" s="736"/>
      <c r="C6" s="736"/>
      <c r="D6" s="736"/>
      <c r="E6" s="736"/>
      <c r="F6" s="736"/>
      <c r="G6" s="736"/>
      <c r="H6" s="736"/>
      <c r="I6" s="736"/>
      <c r="J6" s="736"/>
      <c r="K6" s="736"/>
      <c r="L6" s="736"/>
      <c r="M6" s="736"/>
      <c r="N6" s="736"/>
      <c r="O6" s="736"/>
      <c r="P6" s="736"/>
      <c r="Q6" s="736"/>
      <c r="R6" s="736"/>
      <c r="S6" s="736"/>
      <c r="T6" s="736"/>
      <c r="U6" s="736"/>
      <c r="V6" s="736"/>
      <c r="W6" s="736"/>
      <c r="X6" s="736"/>
      <c r="Y6" s="736"/>
      <c r="Z6" s="736"/>
      <c r="AA6" s="736"/>
    </row>
    <row r="7" spans="1:27" ht="37.5" customHeight="1" x14ac:dyDescent="0.35">
      <c r="A7" s="737" t="s">
        <v>3</v>
      </c>
      <c r="B7" s="733" t="s">
        <v>4</v>
      </c>
      <c r="C7" s="733" t="s">
        <v>5</v>
      </c>
      <c r="D7" s="731" t="s">
        <v>6</v>
      </c>
      <c r="E7" s="733" t="s">
        <v>7</v>
      </c>
      <c r="F7" s="735" t="s">
        <v>8</v>
      </c>
      <c r="G7" s="735"/>
      <c r="H7" s="735" t="s">
        <v>179</v>
      </c>
      <c r="I7" s="735"/>
      <c r="J7" s="735" t="s">
        <v>176</v>
      </c>
      <c r="K7" s="735"/>
      <c r="L7" s="735" t="s">
        <v>177</v>
      </c>
      <c r="M7" s="735"/>
      <c r="N7" s="735" t="s">
        <v>178</v>
      </c>
      <c r="O7" s="735"/>
      <c r="P7" s="735" t="s">
        <v>13</v>
      </c>
      <c r="Q7" s="735"/>
      <c r="R7" s="735" t="s">
        <v>97</v>
      </c>
      <c r="S7" s="735" t="s">
        <v>14</v>
      </c>
      <c r="T7" s="735"/>
      <c r="U7" s="735" t="s">
        <v>15</v>
      </c>
      <c r="V7" s="735" t="s">
        <v>16</v>
      </c>
      <c r="W7" s="735" t="s">
        <v>95</v>
      </c>
      <c r="X7" s="735"/>
      <c r="Y7" s="735"/>
      <c r="Z7" s="735"/>
      <c r="AA7" s="745" t="s">
        <v>17</v>
      </c>
    </row>
    <row r="8" spans="1:27" ht="60.75" customHeight="1" x14ac:dyDescent="0.35">
      <c r="A8" s="738"/>
      <c r="B8" s="734"/>
      <c r="C8" s="734"/>
      <c r="D8" s="732"/>
      <c r="E8" s="734"/>
      <c r="F8" s="238" t="s">
        <v>18</v>
      </c>
      <c r="G8" s="239" t="s">
        <v>19</v>
      </c>
      <c r="H8" s="239" t="s">
        <v>20</v>
      </c>
      <c r="I8" s="239" t="s">
        <v>19</v>
      </c>
      <c r="J8" s="238" t="s">
        <v>21</v>
      </c>
      <c r="K8" s="239" t="s">
        <v>19</v>
      </c>
      <c r="L8" s="238" t="s">
        <v>21</v>
      </c>
      <c r="M8" s="239" t="s">
        <v>19</v>
      </c>
      <c r="N8" s="239" t="s">
        <v>20</v>
      </c>
      <c r="O8" s="239" t="s">
        <v>19</v>
      </c>
      <c r="P8" s="239" t="s">
        <v>20</v>
      </c>
      <c r="Q8" s="239" t="s">
        <v>19</v>
      </c>
      <c r="R8" s="708"/>
      <c r="S8" s="239" t="s">
        <v>22</v>
      </c>
      <c r="T8" s="240" t="s">
        <v>23</v>
      </c>
      <c r="U8" s="708"/>
      <c r="V8" s="708"/>
      <c r="W8" s="241" t="s">
        <v>24</v>
      </c>
      <c r="X8" s="242" t="s">
        <v>25</v>
      </c>
      <c r="Y8" s="242" t="s">
        <v>26</v>
      </c>
      <c r="Z8" s="242" t="s">
        <v>27</v>
      </c>
      <c r="AA8" s="746"/>
    </row>
    <row r="9" spans="1:27" x14ac:dyDescent="0.35">
      <c r="A9" s="153"/>
      <c r="B9" s="154" t="s">
        <v>28</v>
      </c>
      <c r="C9" s="154">
        <v>1</v>
      </c>
      <c r="D9" s="154">
        <v>2</v>
      </c>
      <c r="E9" s="243">
        <v>3</v>
      </c>
      <c r="F9" s="154">
        <v>4</v>
      </c>
      <c r="G9" s="154">
        <v>5</v>
      </c>
      <c r="H9" s="154">
        <v>6</v>
      </c>
      <c r="I9" s="154">
        <v>7</v>
      </c>
      <c r="J9" s="154">
        <v>8</v>
      </c>
      <c r="K9" s="154">
        <v>9</v>
      </c>
      <c r="L9" s="154">
        <v>10</v>
      </c>
      <c r="M9" s="154">
        <v>11</v>
      </c>
      <c r="N9" s="154">
        <v>12</v>
      </c>
      <c r="O9" s="154">
        <v>13</v>
      </c>
      <c r="P9" s="154">
        <v>14</v>
      </c>
      <c r="Q9" s="154">
        <v>15</v>
      </c>
      <c r="R9" s="154">
        <v>16</v>
      </c>
      <c r="S9" s="154">
        <v>17</v>
      </c>
      <c r="T9" s="154">
        <v>18</v>
      </c>
      <c r="U9" s="154">
        <v>19</v>
      </c>
      <c r="V9" s="154">
        <v>20</v>
      </c>
      <c r="W9" s="244">
        <v>21</v>
      </c>
      <c r="X9" s="154">
        <v>22</v>
      </c>
      <c r="Y9" s="154">
        <v>23</v>
      </c>
      <c r="Z9" s="154">
        <v>24</v>
      </c>
      <c r="AA9" s="245">
        <v>25</v>
      </c>
    </row>
    <row r="10" spans="1:27" s="237" customFormat="1" ht="18" customHeight="1" x14ac:dyDescent="0.35">
      <c r="A10" s="232" t="s">
        <v>28</v>
      </c>
      <c r="B10" s="233" t="s">
        <v>361</v>
      </c>
      <c r="C10" s="249" t="s">
        <v>362</v>
      </c>
      <c r="D10" s="234"/>
      <c r="E10" s="235"/>
      <c r="F10" s="234"/>
      <c r="G10" s="234"/>
      <c r="H10" s="234"/>
      <c r="I10" s="234"/>
      <c r="J10" s="234"/>
      <c r="K10" s="234"/>
      <c r="L10" s="234"/>
      <c r="M10" s="234"/>
      <c r="N10" s="234"/>
      <c r="O10" s="234"/>
      <c r="P10" s="234"/>
      <c r="Q10" s="234"/>
      <c r="R10" s="234"/>
      <c r="S10" s="234"/>
      <c r="T10" s="234"/>
      <c r="U10" s="234"/>
      <c r="V10" s="234"/>
      <c r="W10" s="246">
        <v>1091374655</v>
      </c>
      <c r="X10" s="247">
        <v>537382027</v>
      </c>
      <c r="Y10" s="247">
        <v>240290297</v>
      </c>
      <c r="Z10" s="247">
        <v>313702331</v>
      </c>
      <c r="AA10" s="236"/>
    </row>
    <row r="11" spans="1:27" ht="12.75" customHeight="1" x14ac:dyDescent="0.35">
      <c r="A11" s="145" t="s">
        <v>141</v>
      </c>
      <c r="B11" s="146" t="s">
        <v>30</v>
      </c>
      <c r="C11" s="149" t="s">
        <v>363</v>
      </c>
      <c r="D11" s="147"/>
      <c r="E11" s="212"/>
      <c r="F11" s="147"/>
      <c r="G11" s="147"/>
      <c r="H11" s="147"/>
      <c r="I11" s="147"/>
      <c r="J11" s="147"/>
      <c r="K11" s="147"/>
      <c r="L11" s="147"/>
      <c r="M11" s="147"/>
      <c r="N11" s="147"/>
      <c r="O11" s="147"/>
      <c r="P11" s="147"/>
      <c r="Q11" s="147"/>
      <c r="R11" s="147"/>
      <c r="S11" s="147"/>
      <c r="T11" s="147"/>
      <c r="U11" s="147"/>
      <c r="V11" s="147"/>
      <c r="W11" s="199"/>
      <c r="X11" s="147"/>
      <c r="Y11" s="147"/>
      <c r="Z11" s="147"/>
      <c r="AA11" s="148"/>
    </row>
    <row r="12" spans="1:27" ht="23.25" customHeight="1" x14ac:dyDescent="0.35">
      <c r="A12" s="96">
        <v>1</v>
      </c>
      <c r="B12" s="97" t="s">
        <v>205</v>
      </c>
      <c r="C12" s="98">
        <v>21749</v>
      </c>
      <c r="D12" s="99" t="s">
        <v>145</v>
      </c>
      <c r="E12" s="213" t="s">
        <v>207</v>
      </c>
      <c r="F12" s="100">
        <v>4.9800000000000004</v>
      </c>
      <c r="G12" s="98">
        <v>42156</v>
      </c>
      <c r="H12" s="99">
        <v>0.3</v>
      </c>
      <c r="I12" s="98">
        <v>38261</v>
      </c>
      <c r="J12" s="99"/>
      <c r="K12" s="99"/>
      <c r="L12" s="99"/>
      <c r="M12" s="99"/>
      <c r="N12" s="99"/>
      <c r="O12" s="99"/>
      <c r="P12" s="100" t="s">
        <v>265</v>
      </c>
      <c r="Q12" s="98" t="s">
        <v>266</v>
      </c>
      <c r="R12" s="226">
        <v>4909300</v>
      </c>
      <c r="S12" s="99" t="s">
        <v>206</v>
      </c>
      <c r="T12" s="99"/>
      <c r="U12" s="98">
        <v>42248</v>
      </c>
      <c r="V12" s="99" t="s">
        <v>243</v>
      </c>
      <c r="W12" s="192">
        <v>125187150</v>
      </c>
      <c r="X12" s="103">
        <v>54002300</v>
      </c>
      <c r="Y12" s="103">
        <v>24546500</v>
      </c>
      <c r="Z12" s="102">
        <v>46638350</v>
      </c>
      <c r="AA12" s="104" t="s">
        <v>239</v>
      </c>
    </row>
    <row r="13" spans="1:27" ht="27" customHeight="1" x14ac:dyDescent="0.35">
      <c r="A13" s="96">
        <v>2</v>
      </c>
      <c r="B13" s="97" t="s">
        <v>197</v>
      </c>
      <c r="C13" s="98">
        <v>22992</v>
      </c>
      <c r="D13" s="99" t="s">
        <v>161</v>
      </c>
      <c r="E13" s="213" t="s">
        <v>218</v>
      </c>
      <c r="F13" s="100">
        <v>1.18</v>
      </c>
      <c r="G13" s="98">
        <v>38261</v>
      </c>
      <c r="H13" s="141"/>
      <c r="I13" s="98"/>
      <c r="J13" s="99"/>
      <c r="K13" s="99"/>
      <c r="L13" s="141"/>
      <c r="M13" s="98"/>
      <c r="N13" s="99"/>
      <c r="O13" s="99"/>
      <c r="P13" s="100"/>
      <c r="Q13" s="98"/>
      <c r="R13" s="226">
        <v>1187866.6666666667</v>
      </c>
      <c r="S13" s="99" t="s">
        <v>198</v>
      </c>
      <c r="T13" s="99" t="s">
        <v>198</v>
      </c>
      <c r="U13" s="98">
        <v>42248</v>
      </c>
      <c r="V13" s="99" t="s">
        <v>244</v>
      </c>
      <c r="W13" s="192">
        <v>18411933</v>
      </c>
      <c r="X13" s="103">
        <v>8315067</v>
      </c>
      <c r="Y13" s="103">
        <v>5939333</v>
      </c>
      <c r="Z13" s="102">
        <v>4157533</v>
      </c>
      <c r="AA13" s="104" t="s">
        <v>377</v>
      </c>
    </row>
    <row r="14" spans="1:27" ht="27.75" customHeight="1" x14ac:dyDescent="0.35">
      <c r="A14" s="144">
        <v>3</v>
      </c>
      <c r="B14" s="97" t="s">
        <v>204</v>
      </c>
      <c r="C14" s="98">
        <v>23776</v>
      </c>
      <c r="D14" s="99" t="s">
        <v>151</v>
      </c>
      <c r="E14" s="213" t="s">
        <v>323</v>
      </c>
      <c r="F14" s="100">
        <v>3.66</v>
      </c>
      <c r="G14" s="98">
        <v>41974</v>
      </c>
      <c r="H14" s="99">
        <v>0.15</v>
      </c>
      <c r="I14" s="98">
        <v>40179</v>
      </c>
      <c r="J14" s="99"/>
      <c r="K14" s="99"/>
      <c r="L14" s="141"/>
      <c r="M14" s="98"/>
      <c r="N14" s="99"/>
      <c r="O14" s="99"/>
      <c r="P14" s="100" t="s">
        <v>267</v>
      </c>
      <c r="Q14" s="98" t="s">
        <v>268</v>
      </c>
      <c r="R14" s="226">
        <v>3584100</v>
      </c>
      <c r="S14" s="99" t="s">
        <v>160</v>
      </c>
      <c r="T14" s="99" t="s">
        <v>160</v>
      </c>
      <c r="U14" s="98">
        <v>42248</v>
      </c>
      <c r="V14" s="99" t="s">
        <v>245</v>
      </c>
      <c r="W14" s="192">
        <v>84226350</v>
      </c>
      <c r="X14" s="103">
        <v>46593300</v>
      </c>
      <c r="Y14" s="103">
        <v>17920500</v>
      </c>
      <c r="Z14" s="102">
        <v>19712550</v>
      </c>
      <c r="AA14" s="104" t="s">
        <v>239</v>
      </c>
    </row>
    <row r="15" spans="1:27" ht="30.75" customHeight="1" x14ac:dyDescent="0.35">
      <c r="A15" s="96">
        <v>4</v>
      </c>
      <c r="B15" s="97" t="s">
        <v>146</v>
      </c>
      <c r="C15" s="98">
        <v>22037</v>
      </c>
      <c r="D15" s="99"/>
      <c r="E15" s="213" t="s">
        <v>208</v>
      </c>
      <c r="F15" s="99">
        <v>1.18</v>
      </c>
      <c r="G15" s="98">
        <v>40238</v>
      </c>
      <c r="H15" s="99"/>
      <c r="I15" s="98"/>
      <c r="J15" s="99"/>
      <c r="K15" s="99"/>
      <c r="L15" s="99"/>
      <c r="M15" s="99"/>
      <c r="N15" s="99"/>
      <c r="O15" s="99"/>
      <c r="P15" s="100"/>
      <c r="Q15" s="98"/>
      <c r="R15" s="227">
        <v>1187866.6666666667</v>
      </c>
      <c r="S15" s="99" t="s">
        <v>219</v>
      </c>
      <c r="T15" s="99"/>
      <c r="U15" s="98">
        <v>42248</v>
      </c>
      <c r="V15" s="82" t="s">
        <v>246</v>
      </c>
      <c r="W15" s="192">
        <v>23163399</v>
      </c>
      <c r="X15" s="85">
        <v>16630133</v>
      </c>
      <c r="Y15" s="103">
        <v>5939333</v>
      </c>
      <c r="Z15" s="87">
        <v>593933</v>
      </c>
      <c r="AA15" s="104" t="s">
        <v>377</v>
      </c>
    </row>
    <row r="16" spans="1:27" ht="30" customHeight="1" x14ac:dyDescent="0.35">
      <c r="A16" s="96">
        <v>5</v>
      </c>
      <c r="B16" s="97" t="s">
        <v>148</v>
      </c>
      <c r="C16" s="98">
        <v>21903</v>
      </c>
      <c r="D16" s="99"/>
      <c r="E16" s="213" t="s">
        <v>209</v>
      </c>
      <c r="F16" s="100">
        <v>2.4500000000000002</v>
      </c>
      <c r="G16" s="98">
        <v>38261</v>
      </c>
      <c r="H16" s="99"/>
      <c r="I16" s="98"/>
      <c r="J16" s="99"/>
      <c r="K16" s="99"/>
      <c r="L16" s="99"/>
      <c r="M16" s="99"/>
      <c r="N16" s="99"/>
      <c r="O16" s="99"/>
      <c r="P16" s="100"/>
      <c r="Q16" s="98"/>
      <c r="R16" s="226">
        <v>2466333.3333333335</v>
      </c>
      <c r="S16" s="99" t="s">
        <v>220</v>
      </c>
      <c r="T16" s="99"/>
      <c r="U16" s="98">
        <v>42248</v>
      </c>
      <c r="V16" s="82" t="s">
        <v>247</v>
      </c>
      <c r="W16" s="192">
        <v>54875917</v>
      </c>
      <c r="X16" s="85">
        <v>32062333</v>
      </c>
      <c r="Y16" s="103">
        <v>12331667</v>
      </c>
      <c r="Z16" s="87">
        <v>10481917</v>
      </c>
      <c r="AA16" s="104" t="s">
        <v>378</v>
      </c>
    </row>
    <row r="17" spans="1:27" ht="27.75" customHeight="1" x14ac:dyDescent="0.35">
      <c r="A17" s="79">
        <v>6</v>
      </c>
      <c r="B17" s="80" t="s">
        <v>167</v>
      </c>
      <c r="C17" s="81">
        <v>21036</v>
      </c>
      <c r="D17" s="82"/>
      <c r="E17" s="182" t="s">
        <v>210</v>
      </c>
      <c r="F17" s="83">
        <v>1.18</v>
      </c>
      <c r="G17" s="81">
        <v>38261</v>
      </c>
      <c r="H17" s="82"/>
      <c r="I17" s="81"/>
      <c r="J17" s="82"/>
      <c r="K17" s="82"/>
      <c r="L17" s="82"/>
      <c r="M17" s="82"/>
      <c r="N17" s="82"/>
      <c r="O17" s="82"/>
      <c r="P17" s="83"/>
      <c r="Q17" s="81"/>
      <c r="R17" s="227">
        <v>1187866.6666666667</v>
      </c>
      <c r="S17" s="82" t="s">
        <v>221</v>
      </c>
      <c r="T17" s="114"/>
      <c r="U17" s="81">
        <v>42248</v>
      </c>
      <c r="V17" s="82" t="s">
        <v>248</v>
      </c>
      <c r="W17" s="195">
        <v>14848333</v>
      </c>
      <c r="X17" s="85">
        <v>7127200</v>
      </c>
      <c r="Y17" s="85">
        <v>5939333</v>
      </c>
      <c r="Z17" s="87">
        <v>1781800</v>
      </c>
      <c r="AA17" s="104" t="s">
        <v>377</v>
      </c>
    </row>
    <row r="18" spans="1:27" s="77" customFormat="1" ht="13.5" customHeight="1" x14ac:dyDescent="0.35">
      <c r="A18" s="145" t="s">
        <v>155</v>
      </c>
      <c r="B18" s="149" t="s">
        <v>33</v>
      </c>
      <c r="C18" s="248" t="s">
        <v>364</v>
      </c>
      <c r="D18" s="150"/>
      <c r="E18" s="159"/>
      <c r="F18" s="150"/>
      <c r="G18" s="150"/>
      <c r="H18" s="150"/>
      <c r="I18" s="150"/>
      <c r="J18" s="150"/>
      <c r="K18" s="150"/>
      <c r="L18" s="150"/>
      <c r="M18" s="150"/>
      <c r="N18" s="150"/>
      <c r="O18" s="150"/>
      <c r="P18" s="150"/>
      <c r="Q18" s="150"/>
      <c r="R18" s="150"/>
      <c r="S18" s="150"/>
      <c r="T18" s="150"/>
      <c r="U18" s="150"/>
      <c r="V18" s="150"/>
      <c r="W18" s="199"/>
      <c r="X18" s="150"/>
      <c r="Y18" s="150"/>
      <c r="Z18" s="151"/>
      <c r="AA18" s="152"/>
    </row>
    <row r="19" spans="1:27" ht="50.25" customHeight="1" x14ac:dyDescent="0.35">
      <c r="A19" s="137">
        <v>1</v>
      </c>
      <c r="B19" s="138" t="s">
        <v>156</v>
      </c>
      <c r="C19" s="139">
        <v>22010</v>
      </c>
      <c r="D19" s="140" t="s">
        <v>145</v>
      </c>
      <c r="E19" s="214" t="s">
        <v>211</v>
      </c>
      <c r="F19" s="155">
        <v>4.9800000000000004</v>
      </c>
      <c r="G19" s="139">
        <v>39448</v>
      </c>
      <c r="H19" s="140" t="s">
        <v>270</v>
      </c>
      <c r="I19" s="139" t="s">
        <v>271</v>
      </c>
      <c r="J19" s="140"/>
      <c r="K19" s="140"/>
      <c r="L19" s="161" t="s">
        <v>273</v>
      </c>
      <c r="M19" s="139" t="s">
        <v>272</v>
      </c>
      <c r="N19" s="140"/>
      <c r="O19" s="140"/>
      <c r="P19" s="155"/>
      <c r="Q19" s="139"/>
      <c r="R19" s="228">
        <v>5831293.9333333336</v>
      </c>
      <c r="S19" s="140" t="s">
        <v>222</v>
      </c>
      <c r="T19" s="140"/>
      <c r="U19" s="139">
        <v>42248</v>
      </c>
      <c r="V19" s="140" t="s">
        <v>254</v>
      </c>
      <c r="W19" s="200">
        <v>155987113</v>
      </c>
      <c r="X19" s="163">
        <v>81638115</v>
      </c>
      <c r="Y19" s="163">
        <v>29156470</v>
      </c>
      <c r="Z19" s="164">
        <v>45192528</v>
      </c>
      <c r="AA19" s="165" t="s">
        <v>240</v>
      </c>
    </row>
    <row r="20" spans="1:27" ht="27.75" customHeight="1" x14ac:dyDescent="0.35">
      <c r="A20" s="79">
        <v>2</v>
      </c>
      <c r="B20" s="80" t="s">
        <v>152</v>
      </c>
      <c r="C20" s="81">
        <v>21154</v>
      </c>
      <c r="D20" s="82" t="s">
        <v>153</v>
      </c>
      <c r="E20" s="182" t="s">
        <v>212</v>
      </c>
      <c r="F20" s="83">
        <v>4.9800000000000004</v>
      </c>
      <c r="G20" s="81">
        <v>39965</v>
      </c>
      <c r="H20" s="82">
        <v>0.3</v>
      </c>
      <c r="I20" s="81">
        <v>40452</v>
      </c>
      <c r="J20" s="82"/>
      <c r="K20" s="82"/>
      <c r="L20" s="112" t="s">
        <v>269</v>
      </c>
      <c r="M20" s="81" t="s">
        <v>274</v>
      </c>
      <c r="N20" s="82"/>
      <c r="O20" s="82"/>
      <c r="P20" s="83"/>
      <c r="Q20" s="81"/>
      <c r="R20" s="227">
        <v>5583398</v>
      </c>
      <c r="S20" s="82" t="s">
        <v>154</v>
      </c>
      <c r="T20" s="82"/>
      <c r="U20" s="81">
        <v>42278</v>
      </c>
      <c r="V20" s="82" t="s">
        <v>255</v>
      </c>
      <c r="W20" s="195">
        <v>114459659</v>
      </c>
      <c r="X20" s="85">
        <v>39083786</v>
      </c>
      <c r="Y20" s="85">
        <v>27916990</v>
      </c>
      <c r="Z20" s="87">
        <v>47458883</v>
      </c>
      <c r="AA20" s="88" t="s">
        <v>379</v>
      </c>
    </row>
    <row r="21" spans="1:27" ht="65.25" customHeight="1" x14ac:dyDescent="0.35">
      <c r="A21" s="79">
        <v>3</v>
      </c>
      <c r="B21" s="80" t="s">
        <v>157</v>
      </c>
      <c r="C21" s="81">
        <v>22945</v>
      </c>
      <c r="D21" s="82"/>
      <c r="E21" s="182" t="s">
        <v>213</v>
      </c>
      <c r="F21" s="83">
        <v>2.98</v>
      </c>
      <c r="G21" s="81">
        <v>37987</v>
      </c>
      <c r="H21" s="82" t="s">
        <v>275</v>
      </c>
      <c r="I21" s="81" t="s">
        <v>276</v>
      </c>
      <c r="J21" s="82"/>
      <c r="K21" s="82"/>
      <c r="L21" s="112">
        <v>0.17</v>
      </c>
      <c r="M21" s="81">
        <v>40179</v>
      </c>
      <c r="N21" s="82"/>
      <c r="O21" s="82"/>
      <c r="P21" s="83"/>
      <c r="Q21" s="81"/>
      <c r="R21" s="227">
        <v>3621437.1666666665</v>
      </c>
      <c r="S21" s="82" t="s">
        <v>223</v>
      </c>
      <c r="T21" s="82"/>
      <c r="U21" s="81">
        <v>42248</v>
      </c>
      <c r="V21" s="82" t="s">
        <v>256</v>
      </c>
      <c r="W21" s="195">
        <v>68807306</v>
      </c>
      <c r="X21" s="85">
        <v>25350060</v>
      </c>
      <c r="Y21" s="85">
        <v>18107186</v>
      </c>
      <c r="Z21" s="87">
        <v>25350060</v>
      </c>
      <c r="AA21" s="88" t="s">
        <v>380</v>
      </c>
    </row>
    <row r="22" spans="1:27" ht="57" customHeight="1" x14ac:dyDescent="0.35">
      <c r="A22" s="79">
        <v>4</v>
      </c>
      <c r="B22" s="80" t="s">
        <v>163</v>
      </c>
      <c r="C22" s="81">
        <v>22195</v>
      </c>
      <c r="D22" s="82"/>
      <c r="E22" s="182" t="s">
        <v>214</v>
      </c>
      <c r="F22" s="83">
        <v>4.0599999999999996</v>
      </c>
      <c r="G22" s="81">
        <v>39448</v>
      </c>
      <c r="H22" s="112"/>
      <c r="I22" s="81"/>
      <c r="J22" s="82"/>
      <c r="K22" s="82"/>
      <c r="L22" s="112" t="s">
        <v>277</v>
      </c>
      <c r="M22" s="81" t="s">
        <v>278</v>
      </c>
      <c r="N22" s="82"/>
      <c r="O22" s="82"/>
      <c r="P22" s="83"/>
      <c r="Q22" s="81"/>
      <c r="R22" s="227">
        <v>4476488.333333333</v>
      </c>
      <c r="S22" s="82" t="s">
        <v>164</v>
      </c>
      <c r="T22" s="114"/>
      <c r="U22" s="81">
        <v>42309</v>
      </c>
      <c r="V22" s="82" t="s">
        <v>257</v>
      </c>
      <c r="W22" s="195">
        <v>127579918</v>
      </c>
      <c r="X22" s="85">
        <v>67147325</v>
      </c>
      <c r="Y22" s="85">
        <v>22382442</v>
      </c>
      <c r="Z22" s="87">
        <v>38050151</v>
      </c>
      <c r="AA22" s="88" t="s">
        <v>381</v>
      </c>
    </row>
    <row r="23" spans="1:27" ht="30.75" customHeight="1" x14ac:dyDescent="0.35">
      <c r="A23" s="79">
        <v>5</v>
      </c>
      <c r="B23" s="80" t="s">
        <v>171</v>
      </c>
      <c r="C23" s="81">
        <v>20779</v>
      </c>
      <c r="D23" s="82" t="s">
        <v>169</v>
      </c>
      <c r="E23" s="182" t="s">
        <v>215</v>
      </c>
      <c r="F23" s="83"/>
      <c r="G23" s="81"/>
      <c r="H23" s="112"/>
      <c r="I23" s="81"/>
      <c r="J23" s="82"/>
      <c r="K23" s="82"/>
      <c r="L23" s="112"/>
      <c r="M23" s="81"/>
      <c r="N23" s="82"/>
      <c r="O23" s="82"/>
      <c r="P23" s="83"/>
      <c r="Q23" s="81"/>
      <c r="R23" s="85"/>
      <c r="S23" s="82" t="s">
        <v>172</v>
      </c>
      <c r="T23" s="114"/>
      <c r="U23" s="81">
        <v>42248</v>
      </c>
      <c r="V23" s="82" t="s">
        <v>258</v>
      </c>
      <c r="W23" s="747" t="s">
        <v>162</v>
      </c>
      <c r="X23" s="747"/>
      <c r="Y23" s="747"/>
      <c r="Z23" s="747"/>
      <c r="AA23" s="88" t="s">
        <v>382</v>
      </c>
    </row>
    <row r="24" spans="1:27" ht="54" customHeight="1" x14ac:dyDescent="0.35">
      <c r="A24" s="79">
        <v>6</v>
      </c>
      <c r="B24" s="80" t="s">
        <v>187</v>
      </c>
      <c r="C24" s="81">
        <v>21415</v>
      </c>
      <c r="D24" s="82" t="s">
        <v>241</v>
      </c>
      <c r="E24" s="182" t="s">
        <v>216</v>
      </c>
      <c r="F24" s="83">
        <v>4.03</v>
      </c>
      <c r="G24" s="81">
        <v>38261</v>
      </c>
      <c r="H24" s="112"/>
      <c r="I24" s="81"/>
      <c r="J24" s="82"/>
      <c r="K24" s="82"/>
      <c r="L24" s="112" t="s">
        <v>279</v>
      </c>
      <c r="M24" s="81" t="s">
        <v>280</v>
      </c>
      <c r="N24" s="82"/>
      <c r="O24" s="82"/>
      <c r="P24" s="83"/>
      <c r="Q24" s="81"/>
      <c r="R24" s="227">
        <v>4574654.5</v>
      </c>
      <c r="S24" s="82" t="s">
        <v>188</v>
      </c>
      <c r="T24" s="114"/>
      <c r="U24" s="81">
        <v>42248</v>
      </c>
      <c r="V24" s="82" t="s">
        <v>259</v>
      </c>
      <c r="W24" s="195">
        <v>102929727</v>
      </c>
      <c r="X24" s="85">
        <v>41171891</v>
      </c>
      <c r="Y24" s="85">
        <v>22873273</v>
      </c>
      <c r="Z24" s="87">
        <v>38884563</v>
      </c>
      <c r="AA24" s="88" t="s">
        <v>240</v>
      </c>
    </row>
    <row r="25" spans="1:27" ht="28.5" customHeight="1" x14ac:dyDescent="0.35">
      <c r="A25" s="79">
        <v>7</v>
      </c>
      <c r="B25" s="80" t="s">
        <v>190</v>
      </c>
      <c r="C25" s="81">
        <v>20932</v>
      </c>
      <c r="D25" s="82" t="s">
        <v>201</v>
      </c>
      <c r="E25" s="182" t="s">
        <v>217</v>
      </c>
      <c r="F25" s="83"/>
      <c r="G25" s="81"/>
      <c r="H25" s="112"/>
      <c r="I25" s="81"/>
      <c r="J25" s="82"/>
      <c r="K25" s="82"/>
      <c r="L25" s="112"/>
      <c r="M25" s="81"/>
      <c r="N25" s="82"/>
      <c r="O25" s="82"/>
      <c r="P25" s="83"/>
      <c r="Q25" s="81"/>
      <c r="R25" s="85"/>
      <c r="S25" s="82" t="s">
        <v>192</v>
      </c>
      <c r="T25" s="114"/>
      <c r="U25" s="81">
        <v>42248</v>
      </c>
      <c r="V25" s="82" t="s">
        <v>260</v>
      </c>
      <c r="W25" s="747" t="s">
        <v>162</v>
      </c>
      <c r="X25" s="747"/>
      <c r="Y25" s="747"/>
      <c r="Z25" s="747"/>
      <c r="AA25" s="88" t="s">
        <v>324</v>
      </c>
    </row>
    <row r="26" spans="1:27" ht="50.25" customHeight="1" x14ac:dyDescent="0.35">
      <c r="A26" s="79">
        <v>8</v>
      </c>
      <c r="B26" s="80" t="s">
        <v>191</v>
      </c>
      <c r="C26" s="81">
        <v>23472</v>
      </c>
      <c r="D26" s="82" t="s">
        <v>201</v>
      </c>
      <c r="E26" s="182" t="s">
        <v>217</v>
      </c>
      <c r="F26" s="83">
        <v>4.0599999999999996</v>
      </c>
      <c r="G26" s="81">
        <v>42064</v>
      </c>
      <c r="H26" s="112"/>
      <c r="I26" s="81"/>
      <c r="J26" s="112" t="s">
        <v>281</v>
      </c>
      <c r="K26" s="81" t="s">
        <v>282</v>
      </c>
      <c r="L26" s="112"/>
      <c r="M26" s="81"/>
      <c r="N26" s="82"/>
      <c r="O26" s="82"/>
      <c r="P26" s="83" t="s">
        <v>284</v>
      </c>
      <c r="Q26" s="81" t="s">
        <v>285</v>
      </c>
      <c r="R26" s="227">
        <v>4667946.1333333338</v>
      </c>
      <c r="S26" s="82" t="s">
        <v>193</v>
      </c>
      <c r="T26" s="114" t="s">
        <v>194</v>
      </c>
      <c r="U26" s="81">
        <v>42248</v>
      </c>
      <c r="V26" s="82" t="s">
        <v>261</v>
      </c>
      <c r="W26" s="195">
        <v>93358923</v>
      </c>
      <c r="X26" s="85">
        <v>51347407</v>
      </c>
      <c r="Y26" s="85">
        <v>23339731</v>
      </c>
      <c r="Z26" s="87">
        <v>18671785</v>
      </c>
      <c r="AA26" s="88" t="s">
        <v>324</v>
      </c>
    </row>
    <row r="27" spans="1:27" ht="49.5" customHeight="1" x14ac:dyDescent="0.35">
      <c r="A27" s="79">
        <v>9</v>
      </c>
      <c r="B27" s="80" t="s">
        <v>195</v>
      </c>
      <c r="C27" s="81">
        <v>23816</v>
      </c>
      <c r="D27" s="82" t="s">
        <v>200</v>
      </c>
      <c r="E27" s="182" t="s">
        <v>217</v>
      </c>
      <c r="F27" s="83">
        <v>4.0599999999999996</v>
      </c>
      <c r="G27" s="81">
        <v>41609</v>
      </c>
      <c r="H27" s="112"/>
      <c r="I27" s="81"/>
      <c r="J27" s="112" t="s">
        <v>286</v>
      </c>
      <c r="K27" s="81" t="s">
        <v>282</v>
      </c>
      <c r="L27" s="112"/>
      <c r="M27" s="81"/>
      <c r="N27" s="82"/>
      <c r="O27" s="82"/>
      <c r="P27" s="83" t="s">
        <v>283</v>
      </c>
      <c r="Q27" s="81" t="s">
        <v>287</v>
      </c>
      <c r="R27" s="227">
        <v>4779507.8666666662</v>
      </c>
      <c r="S27" s="82" t="s">
        <v>196</v>
      </c>
      <c r="T27" s="114" t="s">
        <v>196</v>
      </c>
      <c r="U27" s="81">
        <v>42248</v>
      </c>
      <c r="V27" s="82" t="s">
        <v>262</v>
      </c>
      <c r="W27" s="195">
        <v>107538927</v>
      </c>
      <c r="X27" s="85">
        <v>66913110</v>
      </c>
      <c r="Y27" s="85">
        <v>23897539</v>
      </c>
      <c r="Z27" s="87">
        <v>16728278</v>
      </c>
      <c r="AA27" s="88" t="s">
        <v>324</v>
      </c>
    </row>
    <row r="28" spans="1:27" s="237" customFormat="1" ht="18" customHeight="1" x14ac:dyDescent="0.35">
      <c r="A28" s="251" t="s">
        <v>359</v>
      </c>
      <c r="B28" s="252" t="s">
        <v>360</v>
      </c>
      <c r="C28" s="250" t="s">
        <v>365</v>
      </c>
      <c r="D28" s="253"/>
      <c r="E28" s="254"/>
      <c r="F28" s="253"/>
      <c r="G28" s="253"/>
      <c r="H28" s="253"/>
      <c r="I28" s="253"/>
      <c r="J28" s="253"/>
      <c r="K28" s="253"/>
      <c r="L28" s="253"/>
      <c r="M28" s="253"/>
      <c r="N28" s="253"/>
      <c r="O28" s="253"/>
      <c r="P28" s="253"/>
      <c r="Q28" s="253"/>
      <c r="R28" s="253"/>
      <c r="S28" s="253"/>
      <c r="T28" s="253"/>
      <c r="U28" s="253"/>
      <c r="V28" s="253"/>
      <c r="W28" s="255">
        <f>SUM(W29:W39)</f>
        <v>1124467860</v>
      </c>
      <c r="X28" s="256">
        <v>507640537</v>
      </c>
      <c r="Y28" s="256">
        <v>255433898</v>
      </c>
      <c r="Z28" s="256">
        <v>360718425</v>
      </c>
      <c r="AA28" s="253"/>
    </row>
    <row r="29" spans="1:27" ht="47.25" customHeight="1" x14ac:dyDescent="0.35">
      <c r="A29" s="96">
        <v>1</v>
      </c>
      <c r="B29" s="97" t="s">
        <v>298</v>
      </c>
      <c r="C29" s="98">
        <v>22939</v>
      </c>
      <c r="D29" s="99"/>
      <c r="E29" s="97" t="s">
        <v>305</v>
      </c>
      <c r="F29" s="100">
        <v>4.0599999999999996</v>
      </c>
      <c r="G29" s="98">
        <v>39692</v>
      </c>
      <c r="H29" s="99"/>
      <c r="I29" s="98"/>
      <c r="J29" s="141"/>
      <c r="K29" s="98"/>
      <c r="L29" s="141" t="s">
        <v>300</v>
      </c>
      <c r="M29" s="98" t="s">
        <v>299</v>
      </c>
      <c r="N29" s="99"/>
      <c r="O29" s="99"/>
      <c r="P29" s="100"/>
      <c r="Q29" s="98"/>
      <c r="R29" s="226">
        <v>4381443.7333333334</v>
      </c>
      <c r="S29" s="99" t="s">
        <v>301</v>
      </c>
      <c r="T29" s="99"/>
      <c r="U29" s="98">
        <v>42248</v>
      </c>
      <c r="V29" s="99" t="s">
        <v>256</v>
      </c>
      <c r="W29" s="204">
        <v>82152070</v>
      </c>
      <c r="X29" s="103">
        <v>30670106</v>
      </c>
      <c r="Y29" s="103">
        <v>21907219</v>
      </c>
      <c r="Z29" s="102">
        <v>29574745</v>
      </c>
      <c r="AA29" s="104" t="s">
        <v>387</v>
      </c>
    </row>
    <row r="30" spans="1:27" ht="19.5" customHeight="1" x14ac:dyDescent="0.35">
      <c r="A30" s="96">
        <v>2</v>
      </c>
      <c r="B30" s="97" t="s">
        <v>302</v>
      </c>
      <c r="C30" s="98">
        <v>21217</v>
      </c>
      <c r="D30" s="99" t="s">
        <v>145</v>
      </c>
      <c r="E30" s="97" t="s">
        <v>306</v>
      </c>
      <c r="F30" s="100">
        <v>4.9800000000000004</v>
      </c>
      <c r="G30" s="98">
        <v>41244</v>
      </c>
      <c r="H30" s="225">
        <v>0.3</v>
      </c>
      <c r="I30" s="98">
        <v>38504</v>
      </c>
      <c r="J30" s="99"/>
      <c r="K30" s="99"/>
      <c r="L30" s="141"/>
      <c r="M30" s="98"/>
      <c r="N30" s="99"/>
      <c r="O30" s="99"/>
      <c r="P30" s="100">
        <v>4.6500000000000004</v>
      </c>
      <c r="Q30" s="98">
        <v>40330</v>
      </c>
      <c r="R30" s="226">
        <v>5187875</v>
      </c>
      <c r="S30" s="99" t="s">
        <v>303</v>
      </c>
      <c r="T30" s="99"/>
      <c r="U30" s="98">
        <v>42248</v>
      </c>
      <c r="V30" s="99" t="s">
        <v>366</v>
      </c>
      <c r="W30" s="204">
        <v>98569625</v>
      </c>
      <c r="X30" s="103">
        <v>36315125</v>
      </c>
      <c r="Y30" s="103">
        <v>25939375</v>
      </c>
      <c r="Z30" s="102">
        <v>36315125</v>
      </c>
      <c r="AA30" s="104" t="s">
        <v>355</v>
      </c>
    </row>
    <row r="31" spans="1:27" ht="26.25" customHeight="1" x14ac:dyDescent="0.35">
      <c r="A31" s="144">
        <v>3</v>
      </c>
      <c r="B31" s="97" t="s">
        <v>304</v>
      </c>
      <c r="C31" s="98">
        <v>23780</v>
      </c>
      <c r="D31" s="99" t="s">
        <v>151</v>
      </c>
      <c r="E31" s="97" t="s">
        <v>307</v>
      </c>
      <c r="F31" s="100">
        <v>3.86</v>
      </c>
      <c r="G31" s="98">
        <v>41974</v>
      </c>
      <c r="H31" s="99"/>
      <c r="I31" s="98"/>
      <c r="J31" s="99"/>
      <c r="K31" s="99"/>
      <c r="L31" s="141"/>
      <c r="M31" s="98"/>
      <c r="N31" s="99"/>
      <c r="O31" s="99"/>
      <c r="P31" s="100" t="s">
        <v>308</v>
      </c>
      <c r="Q31" s="98" t="s">
        <v>268</v>
      </c>
      <c r="R31" s="226">
        <v>3634433.3333333335</v>
      </c>
      <c r="S31" s="99" t="s">
        <v>309</v>
      </c>
      <c r="T31" s="99"/>
      <c r="U31" s="98">
        <v>42248</v>
      </c>
      <c r="V31" s="99" t="s">
        <v>245</v>
      </c>
      <c r="W31" s="204">
        <v>74505883</v>
      </c>
      <c r="X31" s="103">
        <v>47247633</v>
      </c>
      <c r="Y31" s="103">
        <v>18172167</v>
      </c>
      <c r="Z31" s="102">
        <v>9086083</v>
      </c>
      <c r="AA31" s="104" t="s">
        <v>356</v>
      </c>
    </row>
    <row r="32" spans="1:27" ht="47.25" customHeight="1" x14ac:dyDescent="0.35">
      <c r="A32" s="96">
        <v>4</v>
      </c>
      <c r="B32" s="97" t="s">
        <v>310</v>
      </c>
      <c r="C32" s="98">
        <v>22117</v>
      </c>
      <c r="D32" s="99" t="s">
        <v>151</v>
      </c>
      <c r="E32" s="97" t="s">
        <v>311</v>
      </c>
      <c r="F32" s="99">
        <v>3.26</v>
      </c>
      <c r="G32" s="98">
        <v>42186</v>
      </c>
      <c r="H32" s="99" t="s">
        <v>314</v>
      </c>
      <c r="I32" s="98" t="s">
        <v>313</v>
      </c>
      <c r="J32" s="99"/>
      <c r="K32" s="99"/>
      <c r="L32" s="99"/>
      <c r="M32" s="99"/>
      <c r="N32" s="99"/>
      <c r="O32" s="99"/>
      <c r="P32" s="100" t="s">
        <v>375</v>
      </c>
      <c r="Q32" s="98" t="s">
        <v>376</v>
      </c>
      <c r="R32" s="227">
        <v>3183650</v>
      </c>
      <c r="S32" s="99" t="s">
        <v>312</v>
      </c>
      <c r="T32" s="99"/>
      <c r="U32" s="98">
        <v>42248</v>
      </c>
      <c r="V32" s="82" t="s">
        <v>367</v>
      </c>
      <c r="W32" s="204">
        <v>85958550</v>
      </c>
      <c r="X32" s="85">
        <v>44571100</v>
      </c>
      <c r="Y32" s="103">
        <v>15918250</v>
      </c>
      <c r="Z32" s="87">
        <v>25469200</v>
      </c>
      <c r="AA32" s="104" t="s">
        <v>356</v>
      </c>
    </row>
    <row r="33" spans="1:27" ht="57" customHeight="1" x14ac:dyDescent="0.35">
      <c r="A33" s="96">
        <v>5</v>
      </c>
      <c r="B33" s="97" t="s">
        <v>315</v>
      </c>
      <c r="C33" s="98">
        <v>21226</v>
      </c>
      <c r="D33" s="99"/>
      <c r="E33" s="97" t="s">
        <v>316</v>
      </c>
      <c r="F33" s="100">
        <v>4.03</v>
      </c>
      <c r="G33" s="98">
        <v>38261</v>
      </c>
      <c r="H33" s="99"/>
      <c r="I33" s="98"/>
      <c r="J33" s="99"/>
      <c r="K33" s="99"/>
      <c r="L33" s="141" t="s">
        <v>317</v>
      </c>
      <c r="M33" s="98" t="s">
        <v>278</v>
      </c>
      <c r="N33" s="99"/>
      <c r="O33" s="99"/>
      <c r="P33" s="100"/>
      <c r="Q33" s="98"/>
      <c r="R33" s="226">
        <v>4863269.666666667</v>
      </c>
      <c r="S33" s="99" t="s">
        <v>318</v>
      </c>
      <c r="T33" s="99"/>
      <c r="U33" s="98">
        <v>42248</v>
      </c>
      <c r="V33" s="82" t="s">
        <v>366</v>
      </c>
      <c r="W33" s="204">
        <v>108207750</v>
      </c>
      <c r="X33" s="85">
        <v>34042888</v>
      </c>
      <c r="Y33" s="103">
        <v>24316348</v>
      </c>
      <c r="Z33" s="87">
        <v>49848514</v>
      </c>
      <c r="AA33" s="104" t="s">
        <v>388</v>
      </c>
    </row>
    <row r="34" spans="1:27" ht="53.25" customHeight="1" x14ac:dyDescent="0.35">
      <c r="A34" s="79">
        <v>6</v>
      </c>
      <c r="B34" s="80" t="s">
        <v>329</v>
      </c>
      <c r="C34" s="81">
        <v>21468</v>
      </c>
      <c r="D34" s="82" t="s">
        <v>145</v>
      </c>
      <c r="E34" s="80" t="s">
        <v>330</v>
      </c>
      <c r="F34" s="83">
        <v>4.9800000000000004</v>
      </c>
      <c r="G34" s="81">
        <v>39234</v>
      </c>
      <c r="H34" s="82">
        <v>0.25</v>
      </c>
      <c r="I34" s="81">
        <v>40725</v>
      </c>
      <c r="J34" s="82"/>
      <c r="K34" s="82"/>
      <c r="L34" s="112" t="s">
        <v>332</v>
      </c>
      <c r="M34" s="82" t="s">
        <v>331</v>
      </c>
      <c r="N34" s="82"/>
      <c r="O34" s="82"/>
      <c r="P34" s="83"/>
      <c r="Q34" s="81"/>
      <c r="R34" s="227">
        <v>5700222.9000000004</v>
      </c>
      <c r="S34" s="82" t="s">
        <v>336</v>
      </c>
      <c r="T34" s="114"/>
      <c r="U34" s="81">
        <v>42309</v>
      </c>
      <c r="V34" s="82" t="s">
        <v>259</v>
      </c>
      <c r="W34" s="207">
        <v>129680071</v>
      </c>
      <c r="X34" s="85">
        <v>51302006</v>
      </c>
      <c r="Y34" s="85">
        <v>28501115</v>
      </c>
      <c r="Z34" s="87">
        <v>49876950</v>
      </c>
      <c r="AA34" s="104" t="s">
        <v>357</v>
      </c>
    </row>
    <row r="35" spans="1:27" ht="57" customHeight="1" x14ac:dyDescent="0.35">
      <c r="A35" s="96">
        <v>7</v>
      </c>
      <c r="B35" s="97" t="s">
        <v>333</v>
      </c>
      <c r="C35" s="98">
        <v>21914</v>
      </c>
      <c r="D35" s="99"/>
      <c r="E35" s="97" t="s">
        <v>334</v>
      </c>
      <c r="F35" s="100">
        <v>4.0599999999999996</v>
      </c>
      <c r="G35" s="98">
        <v>38261</v>
      </c>
      <c r="H35" s="99"/>
      <c r="I35" s="98"/>
      <c r="J35" s="99"/>
      <c r="K35" s="99"/>
      <c r="L35" s="141" t="s">
        <v>335</v>
      </c>
      <c r="M35" s="98" t="s">
        <v>331</v>
      </c>
      <c r="N35" s="99"/>
      <c r="O35" s="99"/>
      <c r="P35" s="100"/>
      <c r="Q35" s="98"/>
      <c r="R35" s="226">
        <v>4785454.3333333321</v>
      </c>
      <c r="S35" s="99" t="s">
        <v>336</v>
      </c>
      <c r="T35" s="99"/>
      <c r="U35" s="98">
        <v>42339</v>
      </c>
      <c r="V35" s="99" t="s">
        <v>368</v>
      </c>
      <c r="W35" s="204">
        <v>128010903</v>
      </c>
      <c r="X35" s="103">
        <v>62210906</v>
      </c>
      <c r="Y35" s="103">
        <v>23927272</v>
      </c>
      <c r="Z35" s="102">
        <v>41872725</v>
      </c>
      <c r="AA35" s="104" t="s">
        <v>356</v>
      </c>
    </row>
    <row r="36" spans="1:27" ht="57" customHeight="1" x14ac:dyDescent="0.35">
      <c r="A36" s="79">
        <v>8</v>
      </c>
      <c r="B36" s="80" t="s">
        <v>337</v>
      </c>
      <c r="C36" s="81">
        <v>21695</v>
      </c>
      <c r="D36" s="140"/>
      <c r="E36" s="80" t="s">
        <v>338</v>
      </c>
      <c r="F36" s="83">
        <v>4.0599999999999996</v>
      </c>
      <c r="G36" s="81">
        <v>39387</v>
      </c>
      <c r="H36" s="82"/>
      <c r="I36" s="81"/>
      <c r="J36" s="82"/>
      <c r="K36" s="82"/>
      <c r="L36" s="112" t="s">
        <v>340</v>
      </c>
      <c r="M36" s="82" t="s">
        <v>339</v>
      </c>
      <c r="N36" s="82"/>
      <c r="O36" s="82"/>
      <c r="P36" s="83"/>
      <c r="Q36" s="81"/>
      <c r="R36" s="227">
        <v>4415669.5333333332</v>
      </c>
      <c r="S36" s="82" t="s">
        <v>341</v>
      </c>
      <c r="T36" s="99"/>
      <c r="U36" s="81">
        <v>42248</v>
      </c>
      <c r="V36" s="82" t="s">
        <v>369</v>
      </c>
      <c r="W36" s="207">
        <v>86105556</v>
      </c>
      <c r="X36" s="85">
        <v>48572365</v>
      </c>
      <c r="Y36" s="85">
        <v>22078348</v>
      </c>
      <c r="Z36" s="87">
        <v>15454843</v>
      </c>
      <c r="AA36" s="104" t="s">
        <v>356</v>
      </c>
    </row>
    <row r="37" spans="1:27" ht="59.25" customHeight="1" x14ac:dyDescent="0.35">
      <c r="A37" s="79">
        <v>9</v>
      </c>
      <c r="B37" s="80" t="s">
        <v>342</v>
      </c>
      <c r="C37" s="81">
        <v>22909</v>
      </c>
      <c r="D37" s="82" t="s">
        <v>151</v>
      </c>
      <c r="E37" s="80" t="s">
        <v>343</v>
      </c>
      <c r="F37" s="83">
        <v>4.9800000000000004</v>
      </c>
      <c r="G37" s="81">
        <v>38687</v>
      </c>
      <c r="H37" s="82"/>
      <c r="I37" s="81"/>
      <c r="J37" s="82"/>
      <c r="K37" s="82"/>
      <c r="L37" s="112" t="s">
        <v>340</v>
      </c>
      <c r="M37" s="82" t="s">
        <v>344</v>
      </c>
      <c r="N37" s="82"/>
      <c r="O37" s="82"/>
      <c r="P37" s="83"/>
      <c r="Q37" s="81"/>
      <c r="R37" s="227">
        <v>5462321.2999999998</v>
      </c>
      <c r="S37" s="82" t="s">
        <v>345</v>
      </c>
      <c r="T37" s="99"/>
      <c r="U37" s="81">
        <v>42248</v>
      </c>
      <c r="V37" s="82" t="s">
        <v>370</v>
      </c>
      <c r="W37" s="207">
        <v>95590623</v>
      </c>
      <c r="X37" s="85">
        <v>38236249</v>
      </c>
      <c r="Y37" s="85">
        <v>27311607</v>
      </c>
      <c r="Z37" s="87">
        <v>30042767</v>
      </c>
      <c r="AA37" s="104" t="s">
        <v>356</v>
      </c>
    </row>
    <row r="38" spans="1:27" ht="55.5" customHeight="1" x14ac:dyDescent="0.35">
      <c r="A38" s="79">
        <v>10</v>
      </c>
      <c r="B38" s="80" t="s">
        <v>346</v>
      </c>
      <c r="C38" s="81">
        <v>23590</v>
      </c>
      <c r="D38" s="82"/>
      <c r="E38" s="80" t="s">
        <v>347</v>
      </c>
      <c r="F38" s="83">
        <v>3.48</v>
      </c>
      <c r="G38" s="81"/>
      <c r="H38" s="112"/>
      <c r="I38" s="81"/>
      <c r="J38" s="82"/>
      <c r="K38" s="82"/>
      <c r="L38" s="112" t="s">
        <v>349</v>
      </c>
      <c r="M38" s="82" t="s">
        <v>348</v>
      </c>
      <c r="N38" s="82"/>
      <c r="O38" s="82"/>
      <c r="P38" s="83"/>
      <c r="Q38" s="81"/>
      <c r="R38" s="227">
        <v>4322276</v>
      </c>
      <c r="S38" s="82" t="s">
        <v>350</v>
      </c>
      <c r="T38" s="114"/>
      <c r="U38" s="81">
        <v>42339</v>
      </c>
      <c r="V38" s="82" t="s">
        <v>371</v>
      </c>
      <c r="W38" s="207">
        <v>97251210</v>
      </c>
      <c r="X38" s="85">
        <v>47545036</v>
      </c>
      <c r="Y38" s="85">
        <v>21611380</v>
      </c>
      <c r="Z38" s="87">
        <v>28094794</v>
      </c>
      <c r="AA38" s="88" t="s">
        <v>358</v>
      </c>
    </row>
    <row r="39" spans="1:27" ht="48" customHeight="1" x14ac:dyDescent="0.35">
      <c r="A39" s="96">
        <v>11</v>
      </c>
      <c r="B39" s="97" t="s">
        <v>351</v>
      </c>
      <c r="C39" s="98">
        <v>21914</v>
      </c>
      <c r="D39" s="99"/>
      <c r="E39" s="97" t="s">
        <v>352</v>
      </c>
      <c r="F39" s="100">
        <v>4.03</v>
      </c>
      <c r="G39" s="98">
        <v>38261</v>
      </c>
      <c r="H39" s="141"/>
      <c r="I39" s="98"/>
      <c r="J39" s="99"/>
      <c r="K39" s="99"/>
      <c r="L39" s="112" t="s">
        <v>354</v>
      </c>
      <c r="M39" s="82" t="s">
        <v>353</v>
      </c>
      <c r="N39" s="99"/>
      <c r="O39" s="99"/>
      <c r="P39" s="100"/>
      <c r="Q39" s="98"/>
      <c r="R39" s="226">
        <v>5175163.3166666664</v>
      </c>
      <c r="S39" s="99" t="s">
        <v>336</v>
      </c>
      <c r="T39" s="142"/>
      <c r="U39" s="98">
        <v>42248</v>
      </c>
      <c r="V39" s="99" t="s">
        <v>247</v>
      </c>
      <c r="W39" s="204">
        <v>138435619</v>
      </c>
      <c r="X39" s="103">
        <v>67277123</v>
      </c>
      <c r="Y39" s="103">
        <v>25875817</v>
      </c>
      <c r="Z39" s="102">
        <v>45282679</v>
      </c>
      <c r="AA39" s="88" t="s">
        <v>358</v>
      </c>
    </row>
    <row r="40" spans="1:27" ht="20.25" customHeight="1" thickBot="1" x14ac:dyDescent="0.4">
      <c r="A40" s="105"/>
      <c r="B40" s="115" t="s">
        <v>38</v>
      </c>
      <c r="C40" s="115" t="s">
        <v>372</v>
      </c>
      <c r="D40" s="107"/>
      <c r="E40" s="215"/>
      <c r="F40" s="107"/>
      <c r="G40" s="107"/>
      <c r="H40" s="107"/>
      <c r="I40" s="107"/>
      <c r="J40" s="107"/>
      <c r="K40" s="107"/>
      <c r="L40" s="107"/>
      <c r="M40" s="107"/>
      <c r="N40" s="107"/>
      <c r="O40" s="107"/>
      <c r="P40" s="107"/>
      <c r="Q40" s="107"/>
      <c r="R40" s="107"/>
      <c r="S40" s="107"/>
      <c r="T40" s="107"/>
      <c r="U40" s="107"/>
      <c r="V40" s="107"/>
      <c r="W40" s="201">
        <f>SUM(W12:W27,W29:W39)</f>
        <v>2215842515</v>
      </c>
      <c r="X40" s="202">
        <f>SUM(X12:X27,X29:X39)</f>
        <v>1045372564</v>
      </c>
      <c r="Y40" s="202">
        <f>SUM(Y12:Y27,Y29:Y39)</f>
        <v>495849195</v>
      </c>
      <c r="Z40" s="202">
        <f>SUM(Z12:Z27,Z29:Z39)</f>
        <v>674620756</v>
      </c>
      <c r="AA40" s="111"/>
    </row>
    <row r="41" spans="1:27" x14ac:dyDescent="0.35">
      <c r="A41" s="116"/>
    </row>
    <row r="42" spans="1:27" ht="21" hidden="1" customHeight="1" x14ac:dyDescent="0.35">
      <c r="A42" s="118"/>
      <c r="B42" s="119"/>
      <c r="W42" s="748" t="s">
        <v>133</v>
      </c>
      <c r="X42" s="748"/>
      <c r="Y42" s="748"/>
      <c r="Z42" s="748"/>
      <c r="AA42" s="748"/>
    </row>
    <row r="43" spans="1:27" hidden="1" x14ac:dyDescent="0.35">
      <c r="A43" s="120" t="s">
        <v>39</v>
      </c>
      <c r="B43" s="121"/>
      <c r="W43" s="744" t="s">
        <v>131</v>
      </c>
      <c r="X43" s="744"/>
      <c r="Y43" s="744"/>
      <c r="Z43" s="744"/>
      <c r="AA43" s="744"/>
    </row>
    <row r="44" spans="1:27" hidden="1" x14ac:dyDescent="0.35">
      <c r="A44" s="116" t="s">
        <v>40</v>
      </c>
      <c r="B44" s="122"/>
    </row>
    <row r="45" spans="1:27" hidden="1" x14ac:dyDescent="0.35">
      <c r="A45" s="116" t="s">
        <v>41</v>
      </c>
      <c r="B45" s="123"/>
    </row>
    <row r="46" spans="1:27" hidden="1" x14ac:dyDescent="0.35">
      <c r="A46" s="116"/>
      <c r="B46" s="123"/>
    </row>
    <row r="47" spans="1:27" hidden="1" x14ac:dyDescent="0.35">
      <c r="A47" s="124"/>
    </row>
    <row r="48" spans="1:27" hidden="1" x14ac:dyDescent="0.35">
      <c r="A48" s="116"/>
    </row>
    <row r="49" spans="1:27" hidden="1" x14ac:dyDescent="0.35">
      <c r="A49" s="124"/>
      <c r="W49" s="744" t="s">
        <v>132</v>
      </c>
      <c r="X49" s="744"/>
      <c r="Y49" s="744"/>
      <c r="Z49" s="744"/>
      <c r="AA49" s="744"/>
    </row>
    <row r="50" spans="1:27" hidden="1" x14ac:dyDescent="0.35">
      <c r="A50" s="124" t="s">
        <v>42</v>
      </c>
    </row>
    <row r="51" spans="1:27" hidden="1" x14ac:dyDescent="0.35">
      <c r="A51" s="116" t="s">
        <v>43</v>
      </c>
    </row>
    <row r="52" spans="1:27" s="117" customFormat="1" ht="11.5" hidden="1" x14ac:dyDescent="0.25">
      <c r="A52" s="116" t="s">
        <v>44</v>
      </c>
      <c r="E52" s="211"/>
      <c r="W52" s="188"/>
    </row>
    <row r="53" spans="1:27" s="117" customFormat="1" ht="11.5" hidden="1" x14ac:dyDescent="0.25">
      <c r="A53" s="116" t="s">
        <v>45</v>
      </c>
      <c r="E53" s="211"/>
      <c r="W53" s="188"/>
    </row>
    <row r="54" spans="1:27" s="117" customFormat="1" ht="11.5" hidden="1" x14ac:dyDescent="0.25">
      <c r="A54" s="116" t="s">
        <v>46</v>
      </c>
      <c r="E54" s="211"/>
      <c r="W54" s="188"/>
    </row>
    <row r="55" spans="1:27" s="117" customFormat="1" ht="11.5" hidden="1" x14ac:dyDescent="0.25">
      <c r="A55" s="116" t="s">
        <v>47</v>
      </c>
      <c r="E55" s="211"/>
      <c r="W55" s="188"/>
    </row>
    <row r="56" spans="1:27" s="117" customFormat="1" ht="11.5" hidden="1" x14ac:dyDescent="0.25">
      <c r="A56" s="116" t="s">
        <v>48</v>
      </c>
      <c r="E56" s="211"/>
      <c r="W56" s="188"/>
    </row>
    <row r="57" spans="1:27" s="117" customFormat="1" ht="11.5" hidden="1" x14ac:dyDescent="0.25">
      <c r="A57" s="116" t="s">
        <v>49</v>
      </c>
      <c r="E57" s="211"/>
      <c r="W57" s="188"/>
    </row>
    <row r="58" spans="1:27" s="117" customFormat="1" ht="11.5" hidden="1" x14ac:dyDescent="0.25">
      <c r="E58" s="211"/>
      <c r="W58" s="188"/>
    </row>
  </sheetData>
  <mergeCells count="31">
    <mergeCell ref="W43:AA43"/>
    <mergeCell ref="W49:AA49"/>
    <mergeCell ref="V7:V8"/>
    <mergeCell ref="W7:Z7"/>
    <mergeCell ref="AA7:AA8"/>
    <mergeCell ref="W23:Z23"/>
    <mergeCell ref="W42:AA42"/>
    <mergeCell ref="W25:Z25"/>
    <mergeCell ref="A1:C1"/>
    <mergeCell ref="W1:AA1"/>
    <mergeCell ref="A4:AA4"/>
    <mergeCell ref="A5:AA5"/>
    <mergeCell ref="X2:AA2"/>
    <mergeCell ref="X3:AA3"/>
    <mergeCell ref="A3:D3"/>
    <mergeCell ref="A2:D2"/>
    <mergeCell ref="D7:D8"/>
    <mergeCell ref="E7:E8"/>
    <mergeCell ref="F7:G7"/>
    <mergeCell ref="H7:I7"/>
    <mergeCell ref="A6:AA6"/>
    <mergeCell ref="A7:A8"/>
    <mergeCell ref="B7:B8"/>
    <mergeCell ref="C7:C8"/>
    <mergeCell ref="S7:T7"/>
    <mergeCell ref="R7:R8"/>
    <mergeCell ref="J7:K7"/>
    <mergeCell ref="L7:M7"/>
    <mergeCell ref="N7:O7"/>
    <mergeCell ref="P7:Q7"/>
    <mergeCell ref="U7:U8"/>
  </mergeCells>
  <phoneticPr fontId="22" type="noConversion"/>
  <pageMargins left="0.16" right="0.16" top="0.31" bottom="0.16" header="0.31" footer="0.16"/>
  <pageSetup paperSize="9" scale="73" orientation="landscape" verticalDpi="3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N84"/>
  <sheetViews>
    <sheetView topLeftCell="J10" zoomScale="130" zoomScaleNormal="130" workbookViewId="0">
      <selection activeCell="M12" sqref="M12:O12"/>
    </sheetView>
  </sheetViews>
  <sheetFormatPr defaultRowHeight="14.5" x14ac:dyDescent="0.35"/>
  <cols>
    <col min="1" max="1" width="3.453125" customWidth="1"/>
    <col min="2" max="2" width="11.26953125" customWidth="1"/>
    <col min="3" max="3" width="6.81640625" customWidth="1"/>
    <col min="4" max="4" width="4.26953125" customWidth="1"/>
    <col min="5" max="5" width="14.1796875" customWidth="1"/>
    <col min="6" max="6" width="3" customWidth="1"/>
    <col min="7" max="7" width="6.453125" customWidth="1"/>
    <col min="8" max="8" width="2.81640625" customWidth="1"/>
    <col min="9" max="9" width="6.7265625" customWidth="1"/>
    <col min="10" max="10" width="3.453125" customWidth="1"/>
    <col min="11" max="11" width="6.7265625" customWidth="1"/>
    <col min="12" max="12" width="3.7265625" customWidth="1"/>
    <col min="13" max="13" width="6.54296875" customWidth="1"/>
    <col min="14" max="14" width="3.81640625" customWidth="1"/>
    <col min="15" max="15" width="7.1796875" customWidth="1"/>
    <col min="16" max="16" width="3.453125" customWidth="1"/>
    <col min="17" max="17" width="7" customWidth="1"/>
    <col min="18" max="19" width="7" hidden="1" customWidth="1"/>
    <col min="20" max="20" width="3.7265625" hidden="1" customWidth="1"/>
    <col min="21" max="21" width="3.54296875" hidden="1" customWidth="1"/>
    <col min="22" max="22" width="3.453125" hidden="1" customWidth="1"/>
    <col min="23" max="23" width="3.26953125" hidden="1" customWidth="1"/>
    <col min="24" max="24" width="3" hidden="1" customWidth="1"/>
    <col min="25" max="25" width="3.453125" hidden="1" customWidth="1"/>
    <col min="26" max="26" width="6.81640625" hidden="1" customWidth="1"/>
    <col min="27" max="27" width="8.1796875" hidden="1" customWidth="1"/>
    <col min="28" max="28" width="7" customWidth="1"/>
    <col min="29" max="29" width="8.7265625" customWidth="1"/>
    <col min="30" max="30" width="4.7265625" customWidth="1"/>
    <col min="31" max="31" width="8" customWidth="1"/>
    <col min="32" max="32" width="8.54296875" customWidth="1"/>
    <col min="33" max="35" width="9.1796875" hidden="1" customWidth="1"/>
    <col min="36" max="36" width="7.1796875" customWidth="1"/>
    <col min="37" max="37" width="11.7265625" style="188" customWidth="1"/>
    <col min="38" max="38" width="9.26953125" customWidth="1"/>
    <col min="39" max="39" width="10.81640625" customWidth="1"/>
    <col min="40" max="40" width="21.1796875" customWidth="1"/>
  </cols>
  <sheetData>
    <row r="1" spans="1:40" ht="12" customHeight="1" x14ac:dyDescent="0.35">
      <c r="A1" s="739"/>
      <c r="B1" s="739"/>
      <c r="C1" s="739"/>
      <c r="D1" s="739"/>
      <c r="E1" s="136"/>
      <c r="F1" s="78"/>
      <c r="G1" s="78"/>
      <c r="H1" s="78"/>
      <c r="I1" s="78"/>
      <c r="J1" s="78"/>
      <c r="K1" s="78"/>
      <c r="L1" s="78"/>
      <c r="M1" s="78"/>
      <c r="N1" s="78"/>
      <c r="O1" s="78"/>
      <c r="P1" s="78"/>
      <c r="Q1" s="78"/>
      <c r="R1" s="78"/>
      <c r="S1" s="78"/>
      <c r="T1" s="78"/>
      <c r="U1" s="78"/>
      <c r="V1" s="78"/>
      <c r="W1" s="78"/>
      <c r="X1" s="78"/>
      <c r="Y1" s="78"/>
      <c r="Z1" s="78"/>
      <c r="AA1" s="78"/>
      <c r="AB1" s="78"/>
      <c r="AC1" s="78"/>
      <c r="AD1" s="78"/>
      <c r="AE1" s="78"/>
      <c r="AF1" s="78"/>
      <c r="AG1" s="78"/>
      <c r="AH1" s="78"/>
      <c r="AI1" s="78"/>
      <c r="AJ1" s="78"/>
      <c r="AK1" s="740" t="s">
        <v>238</v>
      </c>
      <c r="AL1" s="740"/>
      <c r="AM1" s="740"/>
      <c r="AN1" s="740"/>
    </row>
    <row r="2" spans="1:40" ht="12" customHeight="1" x14ac:dyDescent="0.35">
      <c r="A2" s="739" t="s">
        <v>328</v>
      </c>
      <c r="B2" s="739"/>
      <c r="C2" s="739"/>
      <c r="D2" s="739"/>
      <c r="E2" s="136"/>
      <c r="F2" s="78"/>
      <c r="G2" s="78"/>
      <c r="H2" s="78"/>
      <c r="I2" s="78"/>
      <c r="J2" s="78"/>
      <c r="K2" s="78"/>
      <c r="L2" s="78"/>
      <c r="M2" s="78"/>
      <c r="N2" s="78"/>
      <c r="O2" s="78"/>
      <c r="P2" s="78"/>
      <c r="Q2" s="78"/>
      <c r="R2" s="78"/>
      <c r="S2" s="78"/>
      <c r="T2" s="78"/>
      <c r="U2" s="78"/>
      <c r="V2" s="78"/>
      <c r="W2" s="78"/>
      <c r="X2" s="78"/>
      <c r="Y2" s="78"/>
      <c r="Z2" s="78"/>
      <c r="AA2" s="78"/>
      <c r="AB2" s="78"/>
      <c r="AC2" s="78"/>
      <c r="AD2" s="78"/>
      <c r="AE2" s="78"/>
      <c r="AF2" s="78"/>
      <c r="AG2" s="78"/>
      <c r="AH2" s="78"/>
      <c r="AI2" s="78"/>
      <c r="AJ2" s="78"/>
      <c r="AK2" s="739" t="s">
        <v>383</v>
      </c>
      <c r="AL2" s="739"/>
      <c r="AM2" s="739"/>
      <c r="AN2" s="739"/>
    </row>
    <row r="3" spans="1:40" ht="12" customHeight="1" x14ac:dyDescent="0.35">
      <c r="A3" s="743" t="s">
        <v>135</v>
      </c>
      <c r="B3" s="743"/>
      <c r="C3" s="743"/>
      <c r="D3" s="743"/>
      <c r="E3" s="136"/>
      <c r="F3" s="78"/>
      <c r="G3" s="78"/>
      <c r="H3" s="78"/>
      <c r="I3" s="78"/>
      <c r="J3" s="78"/>
      <c r="K3" s="78"/>
      <c r="L3" s="78"/>
      <c r="M3" s="78"/>
      <c r="N3" s="78"/>
      <c r="O3" s="78"/>
      <c r="P3" s="78"/>
      <c r="Q3" s="78"/>
      <c r="R3" s="78"/>
      <c r="S3" s="78"/>
      <c r="T3" s="78"/>
      <c r="U3" s="78"/>
      <c r="V3" s="78"/>
      <c r="W3" s="78"/>
      <c r="X3" s="78"/>
      <c r="Y3" s="78"/>
      <c r="Z3" s="78"/>
      <c r="AA3" s="78"/>
      <c r="AB3" s="78"/>
      <c r="AC3" s="78"/>
      <c r="AD3" s="78"/>
      <c r="AE3" s="78"/>
      <c r="AF3" s="78"/>
      <c r="AG3" s="78"/>
      <c r="AH3" s="78"/>
      <c r="AI3" s="78"/>
      <c r="AJ3" s="78"/>
      <c r="AK3" s="743" t="s">
        <v>384</v>
      </c>
      <c r="AL3" s="743"/>
      <c r="AM3" s="743"/>
      <c r="AN3" s="743"/>
    </row>
    <row r="4" spans="1:40" s="127" customFormat="1" ht="15.5" x14ac:dyDescent="0.35">
      <c r="A4" s="693" t="s">
        <v>236</v>
      </c>
      <c r="B4" s="693"/>
      <c r="C4" s="693"/>
      <c r="D4" s="693"/>
      <c r="E4" s="693"/>
      <c r="F4" s="693"/>
      <c r="G4" s="693"/>
      <c r="H4" s="693"/>
      <c r="I4" s="693"/>
      <c r="J4" s="693"/>
      <c r="K4" s="693"/>
      <c r="L4" s="693"/>
      <c r="M4" s="693"/>
      <c r="N4" s="693"/>
      <c r="O4" s="693"/>
      <c r="P4" s="693"/>
      <c r="Q4" s="693"/>
      <c r="R4" s="693"/>
      <c r="S4" s="693"/>
      <c r="T4" s="693"/>
      <c r="U4" s="693"/>
      <c r="V4" s="693"/>
      <c r="W4" s="693"/>
      <c r="X4" s="693"/>
      <c r="Y4" s="693"/>
      <c r="Z4" s="693"/>
      <c r="AA4" s="693"/>
      <c r="AB4" s="693"/>
      <c r="AC4" s="693"/>
      <c r="AD4" s="693"/>
      <c r="AE4" s="693"/>
      <c r="AF4" s="693"/>
      <c r="AG4" s="693"/>
      <c r="AH4" s="693"/>
      <c r="AI4" s="693"/>
      <c r="AJ4" s="693"/>
      <c r="AK4" s="693"/>
      <c r="AL4" s="693"/>
      <c r="AM4" s="693"/>
      <c r="AN4" s="693"/>
    </row>
    <row r="5" spans="1:40" s="128" customFormat="1" ht="15.5" x14ac:dyDescent="0.35">
      <c r="A5" s="742" t="s">
        <v>235</v>
      </c>
      <c r="B5" s="742"/>
      <c r="C5" s="742"/>
      <c r="D5" s="742"/>
      <c r="E5" s="742"/>
      <c r="F5" s="742"/>
      <c r="G5" s="742"/>
      <c r="H5" s="742"/>
      <c r="I5" s="742"/>
      <c r="J5" s="742"/>
      <c r="K5" s="742"/>
      <c r="L5" s="742"/>
      <c r="M5" s="742"/>
      <c r="N5" s="742"/>
      <c r="O5" s="742"/>
      <c r="P5" s="742"/>
      <c r="Q5" s="742"/>
      <c r="R5" s="742"/>
      <c r="S5" s="742"/>
      <c r="T5" s="742"/>
      <c r="U5" s="742"/>
      <c r="V5" s="742"/>
      <c r="W5" s="742"/>
      <c r="X5" s="742"/>
      <c r="Y5" s="742"/>
      <c r="Z5" s="742"/>
      <c r="AA5" s="742"/>
      <c r="AB5" s="742"/>
      <c r="AC5" s="742"/>
      <c r="AD5" s="742"/>
      <c r="AE5" s="742"/>
      <c r="AF5" s="742"/>
      <c r="AG5" s="742"/>
      <c r="AH5" s="742"/>
      <c r="AI5" s="742"/>
      <c r="AJ5" s="742"/>
      <c r="AK5" s="742"/>
      <c r="AL5" s="742"/>
      <c r="AM5" s="742"/>
      <c r="AN5" s="742"/>
    </row>
    <row r="6" spans="1:40" s="125" customFormat="1" ht="15.75" customHeight="1" thickBot="1" x14ac:dyDescent="0.35">
      <c r="A6" s="736" t="s">
        <v>385</v>
      </c>
      <c r="B6" s="736"/>
      <c r="C6" s="736"/>
      <c r="D6" s="736"/>
      <c r="E6" s="736"/>
      <c r="F6" s="736"/>
      <c r="G6" s="736"/>
      <c r="H6" s="736"/>
      <c r="I6" s="736"/>
      <c r="J6" s="736"/>
      <c r="K6" s="736"/>
      <c r="L6" s="736"/>
      <c r="M6" s="736"/>
      <c r="N6" s="736"/>
      <c r="O6" s="736"/>
      <c r="P6" s="736"/>
      <c r="Q6" s="736"/>
      <c r="R6" s="736"/>
      <c r="S6" s="736"/>
      <c r="T6" s="736"/>
      <c r="U6" s="736"/>
      <c r="V6" s="736"/>
      <c r="W6" s="736"/>
      <c r="X6" s="736"/>
      <c r="Y6" s="736"/>
      <c r="Z6" s="736"/>
      <c r="AA6" s="736"/>
      <c r="AB6" s="736"/>
      <c r="AC6" s="736"/>
      <c r="AD6" s="736"/>
      <c r="AE6" s="736"/>
      <c r="AF6" s="736"/>
      <c r="AG6" s="736"/>
      <c r="AH6" s="736"/>
      <c r="AI6" s="736"/>
      <c r="AJ6" s="736"/>
      <c r="AK6" s="736"/>
      <c r="AL6" s="736"/>
      <c r="AM6" s="736"/>
      <c r="AN6" s="736"/>
    </row>
    <row r="7" spans="1:40" ht="39" customHeight="1" x14ac:dyDescent="0.35">
      <c r="A7" s="737" t="s">
        <v>173</v>
      </c>
      <c r="B7" s="733" t="s">
        <v>4</v>
      </c>
      <c r="C7" s="733" t="s">
        <v>5</v>
      </c>
      <c r="D7" s="731" t="s">
        <v>6</v>
      </c>
      <c r="E7" s="733" t="s">
        <v>7</v>
      </c>
      <c r="F7" s="735" t="s">
        <v>8</v>
      </c>
      <c r="G7" s="735"/>
      <c r="H7" s="735" t="s">
        <v>175</v>
      </c>
      <c r="I7" s="735"/>
      <c r="J7" s="735" t="s">
        <v>176</v>
      </c>
      <c r="K7" s="735"/>
      <c r="L7" s="735" t="s">
        <v>177</v>
      </c>
      <c r="M7" s="735"/>
      <c r="N7" s="735" t="s">
        <v>178</v>
      </c>
      <c r="O7" s="735"/>
      <c r="P7" s="735" t="s">
        <v>13</v>
      </c>
      <c r="Q7" s="735"/>
      <c r="R7" s="751" t="s">
        <v>83</v>
      </c>
      <c r="S7" s="751"/>
      <c r="T7" s="751"/>
      <c r="U7" s="751"/>
      <c r="V7" s="751"/>
      <c r="W7" s="751"/>
      <c r="X7" s="751"/>
      <c r="Y7" s="751"/>
      <c r="Z7" s="751"/>
      <c r="AA7" s="751"/>
      <c r="AB7" s="735" t="s">
        <v>98</v>
      </c>
      <c r="AC7" s="735" t="s">
        <v>99</v>
      </c>
      <c r="AD7" s="735" t="s">
        <v>14</v>
      </c>
      <c r="AE7" s="735"/>
      <c r="AF7" s="735" t="s">
        <v>15</v>
      </c>
      <c r="AG7" s="751" t="s">
        <v>16</v>
      </c>
      <c r="AH7" s="751"/>
      <c r="AI7" s="751"/>
      <c r="AJ7" s="735" t="s">
        <v>16</v>
      </c>
      <c r="AK7" s="735" t="s">
        <v>95</v>
      </c>
      <c r="AL7" s="735"/>
      <c r="AM7" s="735"/>
      <c r="AN7" s="745" t="s">
        <v>17</v>
      </c>
    </row>
    <row r="8" spans="1:40" ht="49" x14ac:dyDescent="0.35">
      <c r="A8" s="749"/>
      <c r="B8" s="709"/>
      <c r="C8" s="709"/>
      <c r="D8" s="750"/>
      <c r="E8" s="709"/>
      <c r="F8" s="184" t="s">
        <v>18</v>
      </c>
      <c r="G8" s="185" t="s">
        <v>19</v>
      </c>
      <c r="H8" s="185" t="s">
        <v>20</v>
      </c>
      <c r="I8" s="185" t="s">
        <v>19</v>
      </c>
      <c r="J8" s="184" t="s">
        <v>21</v>
      </c>
      <c r="K8" s="185" t="s">
        <v>19</v>
      </c>
      <c r="L8" s="184" t="s">
        <v>21</v>
      </c>
      <c r="M8" s="185" t="s">
        <v>19</v>
      </c>
      <c r="N8" s="185" t="s">
        <v>20</v>
      </c>
      <c r="O8" s="185" t="s">
        <v>19</v>
      </c>
      <c r="P8" s="185" t="s">
        <v>20</v>
      </c>
      <c r="Q8" s="185" t="s">
        <v>19</v>
      </c>
      <c r="R8" s="186" t="s">
        <v>84</v>
      </c>
      <c r="S8" s="186" t="s">
        <v>85</v>
      </c>
      <c r="T8" s="187" t="s">
        <v>86</v>
      </c>
      <c r="U8" s="187" t="s">
        <v>20</v>
      </c>
      <c r="V8" s="187" t="s">
        <v>87</v>
      </c>
      <c r="W8" s="187" t="s">
        <v>91</v>
      </c>
      <c r="X8" s="187" t="s">
        <v>92</v>
      </c>
      <c r="Y8" s="187" t="s">
        <v>90</v>
      </c>
      <c r="Z8" s="186" t="s">
        <v>88</v>
      </c>
      <c r="AA8" s="186" t="s">
        <v>89</v>
      </c>
      <c r="AB8" s="700"/>
      <c r="AC8" s="700"/>
      <c r="AD8" s="185" t="s">
        <v>22</v>
      </c>
      <c r="AE8" s="185" t="s">
        <v>23</v>
      </c>
      <c r="AF8" s="700"/>
      <c r="AG8" s="186" t="s">
        <v>138</v>
      </c>
      <c r="AH8" s="186" t="s">
        <v>139</v>
      </c>
      <c r="AI8" s="186" t="s">
        <v>140</v>
      </c>
      <c r="AJ8" s="700"/>
      <c r="AK8" s="189" t="s">
        <v>24</v>
      </c>
      <c r="AL8" s="185" t="s">
        <v>57</v>
      </c>
      <c r="AM8" s="185" t="s">
        <v>181</v>
      </c>
      <c r="AN8" s="752"/>
    </row>
    <row r="9" spans="1:40" x14ac:dyDescent="0.35">
      <c r="A9" s="156"/>
      <c r="B9" s="157" t="s">
        <v>28</v>
      </c>
      <c r="C9" s="157">
        <v>1</v>
      </c>
      <c r="D9" s="157">
        <v>2</v>
      </c>
      <c r="E9" s="157">
        <v>3</v>
      </c>
      <c r="F9" s="157">
        <v>4</v>
      </c>
      <c r="G9" s="157">
        <v>5</v>
      </c>
      <c r="H9" s="157">
        <v>6</v>
      </c>
      <c r="I9" s="157">
        <v>7</v>
      </c>
      <c r="J9" s="157">
        <v>8</v>
      </c>
      <c r="K9" s="157">
        <v>9</v>
      </c>
      <c r="L9" s="157">
        <v>10</v>
      </c>
      <c r="M9" s="157">
        <v>11</v>
      </c>
      <c r="N9" s="157">
        <v>12</v>
      </c>
      <c r="O9" s="157">
        <v>13</v>
      </c>
      <c r="P9" s="157">
        <v>14</v>
      </c>
      <c r="Q9" s="157">
        <v>15</v>
      </c>
      <c r="R9" s="157"/>
      <c r="S9" s="157"/>
      <c r="T9" s="157"/>
      <c r="U9" s="157"/>
      <c r="V9" s="157"/>
      <c r="W9" s="157"/>
      <c r="X9" s="157"/>
      <c r="Y9" s="157"/>
      <c r="Z9" s="157"/>
      <c r="AA9" s="157"/>
      <c r="AB9" s="157">
        <v>16</v>
      </c>
      <c r="AC9" s="157">
        <v>17</v>
      </c>
      <c r="AD9" s="157">
        <v>18</v>
      </c>
      <c r="AE9" s="157">
        <v>19</v>
      </c>
      <c r="AF9" s="157">
        <v>20</v>
      </c>
      <c r="AG9" s="157"/>
      <c r="AH9" s="157"/>
      <c r="AI9" s="157"/>
      <c r="AJ9" s="157">
        <v>21</v>
      </c>
      <c r="AK9" s="190">
        <v>22</v>
      </c>
      <c r="AL9" s="157">
        <v>23</v>
      </c>
      <c r="AM9" s="157">
        <v>24</v>
      </c>
      <c r="AN9" s="158">
        <v>25</v>
      </c>
    </row>
    <row r="10" spans="1:40" s="174" customFormat="1" ht="23.25" customHeight="1" x14ac:dyDescent="0.25">
      <c r="A10" s="169" t="s">
        <v>141</v>
      </c>
      <c r="B10" s="170" t="s">
        <v>30</v>
      </c>
      <c r="C10" s="170" t="s">
        <v>363</v>
      </c>
      <c r="D10" s="170"/>
      <c r="E10" s="171"/>
      <c r="F10" s="172"/>
      <c r="G10" s="172"/>
      <c r="H10" s="172"/>
      <c r="I10" s="172"/>
      <c r="J10" s="172"/>
      <c r="K10" s="172"/>
      <c r="L10" s="172"/>
      <c r="M10" s="172"/>
      <c r="N10" s="172"/>
      <c r="O10" s="172"/>
      <c r="P10" s="172"/>
      <c r="Q10" s="172"/>
      <c r="R10" s="172"/>
      <c r="S10" s="172"/>
      <c r="T10" s="172"/>
      <c r="U10" s="172"/>
      <c r="V10" s="172"/>
      <c r="W10" s="172"/>
      <c r="X10" s="172"/>
      <c r="Y10" s="172"/>
      <c r="Z10" s="172"/>
      <c r="AA10" s="172"/>
      <c r="AB10" s="172"/>
      <c r="AC10" s="172"/>
      <c r="AD10" s="172"/>
      <c r="AE10" s="172"/>
      <c r="AF10" s="172"/>
      <c r="AG10" s="172"/>
      <c r="AH10" s="172"/>
      <c r="AI10" s="172"/>
      <c r="AJ10" s="172"/>
      <c r="AK10" s="191"/>
      <c r="AL10" s="172"/>
      <c r="AM10" s="172"/>
      <c r="AN10" s="173"/>
    </row>
    <row r="11" spans="1:40" ht="30" customHeight="1" x14ac:dyDescent="0.35">
      <c r="A11" s="96">
        <v>0</v>
      </c>
      <c r="B11" s="97" t="s">
        <v>174</v>
      </c>
      <c r="C11" s="98">
        <v>25833</v>
      </c>
      <c r="D11" s="99" t="s">
        <v>151</v>
      </c>
      <c r="E11" s="97" t="s">
        <v>224</v>
      </c>
      <c r="F11" s="100">
        <v>4.0599999999999996</v>
      </c>
      <c r="G11" s="98">
        <v>42005</v>
      </c>
      <c r="H11" s="99">
        <v>0.2</v>
      </c>
      <c r="I11" s="98">
        <v>41275</v>
      </c>
      <c r="J11" s="99"/>
      <c r="K11" s="99"/>
      <c r="L11" s="99"/>
      <c r="M11" s="99"/>
      <c r="N11" s="100"/>
      <c r="O11" s="98"/>
      <c r="P11" s="100" t="s">
        <v>284</v>
      </c>
      <c r="Q11" s="98" t="s">
        <v>288</v>
      </c>
      <c r="R11" s="98">
        <v>40483</v>
      </c>
      <c r="S11" s="98">
        <v>40543</v>
      </c>
      <c r="T11" s="99">
        <v>2</v>
      </c>
      <c r="U11" s="99">
        <v>3.46</v>
      </c>
      <c r="V11" s="99"/>
      <c r="W11" s="99"/>
      <c r="X11" s="99"/>
      <c r="Y11" s="100">
        <v>3.46</v>
      </c>
      <c r="Z11" s="101">
        <v>730000</v>
      </c>
      <c r="AA11" s="101">
        <v>5051600</v>
      </c>
      <c r="AB11" s="103">
        <v>4899000</v>
      </c>
      <c r="AC11" s="226">
        <v>4025773.3333333335</v>
      </c>
      <c r="AD11" s="99" t="s">
        <v>180</v>
      </c>
      <c r="AE11" s="99"/>
      <c r="AF11" s="98">
        <v>42309</v>
      </c>
      <c r="AG11" s="99">
        <v>45</v>
      </c>
      <c r="AH11" s="99">
        <v>1</v>
      </c>
      <c r="AI11" s="99">
        <v>10</v>
      </c>
      <c r="AJ11" s="99" t="s">
        <v>249</v>
      </c>
      <c r="AK11" s="192">
        <v>168682830</v>
      </c>
      <c r="AL11" s="103">
        <v>14697000</v>
      </c>
      <c r="AM11" s="103">
        <v>153985830</v>
      </c>
      <c r="AN11" s="104" t="s">
        <v>147</v>
      </c>
    </row>
    <row r="12" spans="1:40" hidden="1" x14ac:dyDescent="0.35">
      <c r="A12" s="79"/>
      <c r="B12" s="80"/>
      <c r="C12" s="81"/>
      <c r="D12" s="82"/>
      <c r="E12" s="80"/>
      <c r="F12" s="82"/>
      <c r="G12" s="82"/>
      <c r="H12" s="82"/>
      <c r="I12" s="82"/>
      <c r="J12" s="82"/>
      <c r="K12" s="82"/>
      <c r="L12" s="82"/>
      <c r="M12" s="82"/>
      <c r="N12" s="82"/>
      <c r="O12" s="81"/>
      <c r="P12" s="82"/>
      <c r="Q12" s="81"/>
      <c r="R12" s="81">
        <v>40544</v>
      </c>
      <c r="S12" s="81">
        <v>40663</v>
      </c>
      <c r="T12" s="82">
        <v>4</v>
      </c>
      <c r="U12" s="82">
        <v>3.66</v>
      </c>
      <c r="V12" s="82"/>
      <c r="W12" s="82"/>
      <c r="X12" s="82"/>
      <c r="Y12" s="83">
        <v>3.66</v>
      </c>
      <c r="Z12" s="84">
        <v>730000</v>
      </c>
      <c r="AA12" s="84">
        <v>10687200</v>
      </c>
      <c r="AB12" s="82"/>
      <c r="AC12" s="82"/>
      <c r="AD12" s="82"/>
      <c r="AE12" s="82"/>
      <c r="AF12" s="81"/>
      <c r="AG12" s="82"/>
      <c r="AH12" s="82"/>
      <c r="AI12" s="82"/>
      <c r="AJ12" s="82"/>
      <c r="AK12" s="193"/>
      <c r="AL12" s="82"/>
      <c r="AM12" s="85"/>
      <c r="AN12" s="88"/>
    </row>
    <row r="13" spans="1:40" hidden="1" x14ac:dyDescent="0.35">
      <c r="A13" s="79"/>
      <c r="B13" s="80"/>
      <c r="C13" s="82"/>
      <c r="D13" s="82"/>
      <c r="E13" s="80"/>
      <c r="F13" s="82"/>
      <c r="G13" s="82"/>
      <c r="H13" s="82"/>
      <c r="I13" s="82"/>
      <c r="J13" s="82"/>
      <c r="K13" s="82"/>
      <c r="L13" s="82"/>
      <c r="M13" s="82"/>
      <c r="N13" s="82"/>
      <c r="O13" s="81"/>
      <c r="P13" s="82"/>
      <c r="Q13" s="81"/>
      <c r="R13" s="81">
        <v>40664</v>
      </c>
      <c r="S13" s="81">
        <v>41029</v>
      </c>
      <c r="T13" s="82">
        <v>12</v>
      </c>
      <c r="U13" s="82">
        <v>3.66</v>
      </c>
      <c r="V13" s="82"/>
      <c r="W13" s="82"/>
      <c r="X13" s="82"/>
      <c r="Y13" s="83">
        <v>3.66</v>
      </c>
      <c r="Z13" s="84">
        <v>830000</v>
      </c>
      <c r="AA13" s="84">
        <v>36453600</v>
      </c>
      <c r="AB13" s="85"/>
      <c r="AC13" s="85"/>
      <c r="AD13" s="82"/>
      <c r="AE13" s="82"/>
      <c r="AF13" s="82"/>
      <c r="AG13" s="82"/>
      <c r="AH13" s="82"/>
      <c r="AI13" s="82"/>
      <c r="AJ13" s="82"/>
      <c r="AK13" s="193"/>
      <c r="AL13" s="82"/>
      <c r="AM13" s="82"/>
      <c r="AN13" s="88"/>
    </row>
    <row r="14" spans="1:40" hidden="1" x14ac:dyDescent="0.35">
      <c r="A14" s="79"/>
      <c r="B14" s="80"/>
      <c r="C14" s="82"/>
      <c r="D14" s="82"/>
      <c r="E14" s="80"/>
      <c r="F14" s="82"/>
      <c r="G14" s="82"/>
      <c r="H14" s="82"/>
      <c r="I14" s="82"/>
      <c r="J14" s="82"/>
      <c r="K14" s="82"/>
      <c r="L14" s="82"/>
      <c r="M14" s="82"/>
      <c r="N14" s="82"/>
      <c r="O14" s="81"/>
      <c r="P14" s="82"/>
      <c r="Q14" s="81"/>
      <c r="R14" s="81">
        <v>41030</v>
      </c>
      <c r="S14" s="81">
        <v>41274</v>
      </c>
      <c r="T14" s="82">
        <v>8</v>
      </c>
      <c r="U14" s="82">
        <v>3.66</v>
      </c>
      <c r="V14" s="82"/>
      <c r="W14" s="82"/>
      <c r="X14" s="82"/>
      <c r="Y14" s="83">
        <v>3.66</v>
      </c>
      <c r="Z14" s="84">
        <v>1050000</v>
      </c>
      <c r="AA14" s="84">
        <v>30744000</v>
      </c>
      <c r="AB14" s="85"/>
      <c r="AC14" s="85"/>
      <c r="AD14" s="82"/>
      <c r="AE14" s="82"/>
      <c r="AF14" s="82"/>
      <c r="AG14" s="82"/>
      <c r="AH14" s="82"/>
      <c r="AI14" s="82"/>
      <c r="AJ14" s="82"/>
      <c r="AK14" s="193"/>
      <c r="AL14" s="82"/>
      <c r="AM14" s="82"/>
      <c r="AN14" s="88"/>
    </row>
    <row r="15" spans="1:40" hidden="1" x14ac:dyDescent="0.35">
      <c r="A15" s="79"/>
      <c r="B15" s="80"/>
      <c r="C15" s="82"/>
      <c r="D15" s="82"/>
      <c r="E15" s="80"/>
      <c r="F15" s="82"/>
      <c r="G15" s="82"/>
      <c r="H15" s="82"/>
      <c r="I15" s="82"/>
      <c r="J15" s="82"/>
      <c r="K15" s="82"/>
      <c r="L15" s="82"/>
      <c r="M15" s="82"/>
      <c r="N15" s="82"/>
      <c r="O15" s="81"/>
      <c r="P15" s="82"/>
      <c r="Q15" s="81"/>
      <c r="R15" s="81">
        <v>41275</v>
      </c>
      <c r="S15" s="81">
        <v>41455</v>
      </c>
      <c r="T15" s="82">
        <v>6</v>
      </c>
      <c r="U15" s="82">
        <v>3.86</v>
      </c>
      <c r="V15" s="82">
        <v>0.2</v>
      </c>
      <c r="W15" s="82"/>
      <c r="X15" s="82"/>
      <c r="Y15" s="83">
        <v>4.0599999999999996</v>
      </c>
      <c r="Z15" s="84">
        <v>1050000</v>
      </c>
      <c r="AA15" s="84">
        <v>25578000</v>
      </c>
      <c r="AB15" s="85"/>
      <c r="AC15" s="85"/>
      <c r="AD15" s="82"/>
      <c r="AE15" s="82"/>
      <c r="AF15" s="82"/>
      <c r="AG15" s="82"/>
      <c r="AH15" s="82"/>
      <c r="AI15" s="82"/>
      <c r="AJ15" s="82"/>
      <c r="AK15" s="193"/>
      <c r="AL15" s="82"/>
      <c r="AM15" s="82"/>
      <c r="AN15" s="88"/>
    </row>
    <row r="16" spans="1:40" hidden="1" x14ac:dyDescent="0.35">
      <c r="A16" s="79"/>
      <c r="B16" s="80"/>
      <c r="C16" s="82"/>
      <c r="D16" s="82"/>
      <c r="E16" s="80"/>
      <c r="F16" s="82"/>
      <c r="G16" s="82"/>
      <c r="H16" s="82"/>
      <c r="I16" s="82"/>
      <c r="J16" s="82"/>
      <c r="K16" s="82"/>
      <c r="L16" s="82"/>
      <c r="M16" s="82"/>
      <c r="N16" s="82"/>
      <c r="O16" s="81"/>
      <c r="P16" s="82"/>
      <c r="Q16" s="81"/>
      <c r="R16" s="81">
        <v>41456</v>
      </c>
      <c r="S16" s="81">
        <v>42004</v>
      </c>
      <c r="T16" s="82">
        <v>18</v>
      </c>
      <c r="U16" s="82">
        <v>3.86</v>
      </c>
      <c r="V16" s="82">
        <v>0.2</v>
      </c>
      <c r="W16" s="82"/>
      <c r="X16" s="82"/>
      <c r="Y16" s="83">
        <v>4.0599999999999996</v>
      </c>
      <c r="Z16" s="84">
        <v>1150000</v>
      </c>
      <c r="AA16" s="84">
        <v>84042000</v>
      </c>
      <c r="AB16" s="85"/>
      <c r="AC16" s="85"/>
      <c r="AD16" s="82"/>
      <c r="AE16" s="82"/>
      <c r="AF16" s="82"/>
      <c r="AG16" s="82"/>
      <c r="AH16" s="82"/>
      <c r="AI16" s="82"/>
      <c r="AJ16" s="82"/>
      <c r="AK16" s="193"/>
      <c r="AL16" s="82"/>
      <c r="AM16" s="82"/>
      <c r="AN16" s="88"/>
    </row>
    <row r="17" spans="1:40" hidden="1" x14ac:dyDescent="0.35">
      <c r="A17" s="79"/>
      <c r="B17" s="80"/>
      <c r="C17" s="82"/>
      <c r="D17" s="82"/>
      <c r="E17" s="80"/>
      <c r="F17" s="82"/>
      <c r="G17" s="82"/>
      <c r="H17" s="82"/>
      <c r="I17" s="82"/>
      <c r="J17" s="82"/>
      <c r="K17" s="82"/>
      <c r="L17" s="82"/>
      <c r="M17" s="82"/>
      <c r="N17" s="82"/>
      <c r="O17" s="81"/>
      <c r="P17" s="82"/>
      <c r="Q17" s="82"/>
      <c r="R17" s="81">
        <v>42005</v>
      </c>
      <c r="S17" s="81">
        <v>42308</v>
      </c>
      <c r="T17" s="82">
        <v>10</v>
      </c>
      <c r="U17" s="82">
        <v>4.0599999999999996</v>
      </c>
      <c r="V17" s="82">
        <v>0.2</v>
      </c>
      <c r="W17" s="82"/>
      <c r="X17" s="82"/>
      <c r="Y17" s="83">
        <v>4.26</v>
      </c>
      <c r="Z17" s="84">
        <v>1150000</v>
      </c>
      <c r="AA17" s="84">
        <v>48989999.999999993</v>
      </c>
      <c r="AB17" s="82"/>
      <c r="AC17" s="82"/>
      <c r="AD17" s="82"/>
      <c r="AE17" s="82"/>
      <c r="AF17" s="82"/>
      <c r="AG17" s="82"/>
      <c r="AH17" s="82"/>
      <c r="AI17" s="82"/>
      <c r="AJ17" s="82"/>
      <c r="AK17" s="193"/>
      <c r="AL17" s="82"/>
      <c r="AM17" s="82"/>
      <c r="AN17" s="88"/>
    </row>
    <row r="18" spans="1:40" hidden="1" x14ac:dyDescent="0.35">
      <c r="A18" s="89"/>
      <c r="B18" s="90"/>
      <c r="C18" s="91"/>
      <c r="D18" s="91"/>
      <c r="E18" s="90"/>
      <c r="F18" s="91"/>
      <c r="G18" s="91"/>
      <c r="H18" s="91"/>
      <c r="I18" s="91"/>
      <c r="J18" s="91"/>
      <c r="K18" s="91"/>
      <c r="L18" s="91"/>
      <c r="M18" s="91"/>
      <c r="N18" s="91"/>
      <c r="O18" s="92"/>
      <c r="P18" s="91"/>
      <c r="Q18" s="91"/>
      <c r="R18" s="92"/>
      <c r="S18" s="92"/>
      <c r="T18" s="91">
        <v>60</v>
      </c>
      <c r="U18" s="93"/>
      <c r="V18" s="92"/>
      <c r="W18" s="92"/>
      <c r="X18" s="92"/>
      <c r="Y18" s="93"/>
      <c r="Z18" s="94"/>
      <c r="AA18" s="94">
        <v>241546400</v>
      </c>
      <c r="AB18" s="91"/>
      <c r="AC18" s="91"/>
      <c r="AD18" s="91"/>
      <c r="AE18" s="91"/>
      <c r="AF18" s="91"/>
      <c r="AG18" s="91"/>
      <c r="AH18" s="91"/>
      <c r="AI18" s="91"/>
      <c r="AJ18" s="91"/>
      <c r="AK18" s="194"/>
      <c r="AL18" s="91"/>
      <c r="AM18" s="91"/>
      <c r="AN18" s="95"/>
    </row>
    <row r="19" spans="1:40" ht="27.75" customHeight="1" x14ac:dyDescent="0.35">
      <c r="A19" s="79">
        <v>2</v>
      </c>
      <c r="B19" s="80" t="s">
        <v>150</v>
      </c>
      <c r="C19" s="81">
        <v>23279</v>
      </c>
      <c r="D19" s="82" t="s">
        <v>145</v>
      </c>
      <c r="E19" s="80" t="s">
        <v>228</v>
      </c>
      <c r="F19" s="83">
        <v>5.42</v>
      </c>
      <c r="G19" s="81">
        <v>42005</v>
      </c>
      <c r="H19" s="82">
        <v>0.5</v>
      </c>
      <c r="I19" s="81">
        <v>39995</v>
      </c>
      <c r="J19" s="82"/>
      <c r="K19" s="82"/>
      <c r="L19" s="82"/>
      <c r="M19" s="82"/>
      <c r="N19" s="83"/>
      <c r="O19" s="81"/>
      <c r="P19" s="82" t="s">
        <v>289</v>
      </c>
      <c r="Q19" s="81" t="s">
        <v>290</v>
      </c>
      <c r="R19" s="81">
        <v>40422</v>
      </c>
      <c r="S19" s="81">
        <v>40663</v>
      </c>
      <c r="T19" s="82">
        <v>8</v>
      </c>
      <c r="U19" s="83">
        <v>4.74</v>
      </c>
      <c r="V19" s="82">
        <v>0.5</v>
      </c>
      <c r="W19" s="82"/>
      <c r="X19" s="82"/>
      <c r="Y19" s="83">
        <v>5.24</v>
      </c>
      <c r="Z19" s="84">
        <v>730000</v>
      </c>
      <c r="AA19" s="84">
        <v>30601600</v>
      </c>
      <c r="AB19" s="85">
        <v>6808000</v>
      </c>
      <c r="AC19" s="227">
        <v>5532200</v>
      </c>
      <c r="AD19" s="82" t="s">
        <v>159</v>
      </c>
      <c r="AE19" s="82"/>
      <c r="AF19" s="81">
        <v>42248</v>
      </c>
      <c r="AG19" s="82">
        <v>51</v>
      </c>
      <c r="AH19" s="82">
        <v>11</v>
      </c>
      <c r="AI19" s="82">
        <v>7</v>
      </c>
      <c r="AJ19" s="82" t="s">
        <v>250</v>
      </c>
      <c r="AK19" s="195">
        <v>294267900</v>
      </c>
      <c r="AL19" s="85">
        <v>20424000</v>
      </c>
      <c r="AM19" s="85">
        <v>273843900</v>
      </c>
      <c r="AN19" s="88" t="s">
        <v>386</v>
      </c>
    </row>
    <row r="20" spans="1:40" ht="12" hidden="1" customHeight="1" x14ac:dyDescent="0.35">
      <c r="A20" s="79"/>
      <c r="B20" s="80"/>
      <c r="C20" s="82"/>
      <c r="D20" s="82"/>
      <c r="E20" s="80"/>
      <c r="F20" s="82"/>
      <c r="G20" s="82"/>
      <c r="H20" s="82"/>
      <c r="I20" s="82"/>
      <c r="J20" s="82"/>
      <c r="K20" s="82"/>
      <c r="L20" s="82"/>
      <c r="M20" s="82"/>
      <c r="N20" s="82"/>
      <c r="O20" s="81"/>
      <c r="P20" s="82"/>
      <c r="Q20" s="81"/>
      <c r="R20" s="81">
        <v>40664</v>
      </c>
      <c r="S20" s="81">
        <v>41029</v>
      </c>
      <c r="T20" s="82">
        <v>12</v>
      </c>
      <c r="U20" s="83">
        <v>4.74</v>
      </c>
      <c r="V20" s="82">
        <v>0.5</v>
      </c>
      <c r="W20" s="82"/>
      <c r="X20" s="82"/>
      <c r="Y20" s="83">
        <v>5.24</v>
      </c>
      <c r="Z20" s="84">
        <v>830000</v>
      </c>
      <c r="AA20" s="84">
        <v>52190400</v>
      </c>
      <c r="AB20" s="82"/>
      <c r="AC20" s="82"/>
      <c r="AD20" s="82"/>
      <c r="AE20" s="82"/>
      <c r="AF20" s="82"/>
      <c r="AG20" s="82"/>
      <c r="AH20" s="82"/>
      <c r="AI20" s="82"/>
      <c r="AJ20" s="82"/>
      <c r="AK20" s="193"/>
      <c r="AL20" s="82"/>
      <c r="AM20" s="85"/>
      <c r="AN20" s="88"/>
    </row>
    <row r="21" spans="1:40" ht="12" hidden="1" customHeight="1" x14ac:dyDescent="0.35">
      <c r="A21" s="79"/>
      <c r="B21" s="80"/>
      <c r="C21" s="82"/>
      <c r="D21" s="82"/>
      <c r="E21" s="80"/>
      <c r="F21" s="82"/>
      <c r="G21" s="82"/>
      <c r="H21" s="82"/>
      <c r="I21" s="82"/>
      <c r="J21" s="82"/>
      <c r="K21" s="82"/>
      <c r="L21" s="82"/>
      <c r="M21" s="82"/>
      <c r="N21" s="82"/>
      <c r="O21" s="81"/>
      <c r="P21" s="82"/>
      <c r="Q21" s="81"/>
      <c r="R21" s="81">
        <v>41030</v>
      </c>
      <c r="S21" s="81">
        <v>41274</v>
      </c>
      <c r="T21" s="82">
        <v>8</v>
      </c>
      <c r="U21" s="83">
        <v>4.74</v>
      </c>
      <c r="V21" s="82">
        <v>0.5</v>
      </c>
      <c r="W21" s="82"/>
      <c r="X21" s="82"/>
      <c r="Y21" s="83">
        <v>5.24</v>
      </c>
      <c r="Z21" s="84">
        <v>1050000</v>
      </c>
      <c r="AA21" s="84">
        <v>44016000</v>
      </c>
      <c r="AB21" s="85"/>
      <c r="AC21" s="85"/>
      <c r="AD21" s="82"/>
      <c r="AE21" s="82"/>
      <c r="AF21" s="82"/>
      <c r="AG21" s="82"/>
      <c r="AH21" s="82"/>
      <c r="AI21" s="82"/>
      <c r="AJ21" s="82"/>
      <c r="AK21" s="193"/>
      <c r="AL21" s="82"/>
      <c r="AM21" s="82"/>
      <c r="AN21" s="88"/>
    </row>
    <row r="22" spans="1:40" ht="12" hidden="1" customHeight="1" x14ac:dyDescent="0.35">
      <c r="A22" s="79"/>
      <c r="B22" s="80"/>
      <c r="C22" s="82"/>
      <c r="D22" s="82"/>
      <c r="E22" s="80"/>
      <c r="F22" s="82"/>
      <c r="G22" s="82"/>
      <c r="H22" s="82"/>
      <c r="I22" s="82"/>
      <c r="J22" s="82"/>
      <c r="K22" s="82"/>
      <c r="L22" s="82"/>
      <c r="M22" s="82"/>
      <c r="N22" s="82"/>
      <c r="O22" s="81"/>
      <c r="P22" s="82"/>
      <c r="Q22" s="82"/>
      <c r="R22" s="81">
        <v>41275</v>
      </c>
      <c r="S22" s="81">
        <v>41455</v>
      </c>
      <c r="T22" s="82">
        <v>6</v>
      </c>
      <c r="U22" s="83">
        <v>5.08</v>
      </c>
      <c r="V22" s="82">
        <v>0.5</v>
      </c>
      <c r="W22" s="82"/>
      <c r="X22" s="82"/>
      <c r="Y22" s="83">
        <v>5.58</v>
      </c>
      <c r="Z22" s="84">
        <v>1050000</v>
      </c>
      <c r="AA22" s="84">
        <v>35154000.000000007</v>
      </c>
      <c r="AB22" s="82"/>
      <c r="AC22" s="82"/>
      <c r="AD22" s="82"/>
      <c r="AE22" s="82"/>
      <c r="AF22" s="82"/>
      <c r="AG22" s="82"/>
      <c r="AH22" s="82"/>
      <c r="AI22" s="82"/>
      <c r="AJ22" s="82"/>
      <c r="AK22" s="193"/>
      <c r="AL22" s="82"/>
      <c r="AM22" s="82"/>
      <c r="AN22" s="88"/>
    </row>
    <row r="23" spans="1:40" ht="12" hidden="1" customHeight="1" x14ac:dyDescent="0.35">
      <c r="A23" s="79"/>
      <c r="B23" s="80"/>
      <c r="C23" s="82"/>
      <c r="D23" s="82"/>
      <c r="E23" s="80"/>
      <c r="F23" s="82"/>
      <c r="G23" s="82"/>
      <c r="H23" s="82"/>
      <c r="I23" s="82"/>
      <c r="J23" s="82"/>
      <c r="K23" s="82"/>
      <c r="L23" s="82"/>
      <c r="M23" s="82"/>
      <c r="N23" s="82"/>
      <c r="O23" s="81"/>
      <c r="P23" s="82"/>
      <c r="Q23" s="82"/>
      <c r="R23" s="81">
        <v>41456</v>
      </c>
      <c r="S23" s="81">
        <v>42004</v>
      </c>
      <c r="T23" s="82">
        <v>18</v>
      </c>
      <c r="U23" s="83">
        <v>5.08</v>
      </c>
      <c r="V23" s="82">
        <v>0.5</v>
      </c>
      <c r="W23" s="82"/>
      <c r="X23" s="82"/>
      <c r="Y23" s="83">
        <v>5.58</v>
      </c>
      <c r="Z23" s="84">
        <v>1150000</v>
      </c>
      <c r="AA23" s="84">
        <v>115506000</v>
      </c>
      <c r="AB23" s="82"/>
      <c r="AC23" s="82"/>
      <c r="AD23" s="82"/>
      <c r="AE23" s="82"/>
      <c r="AF23" s="82"/>
      <c r="AG23" s="82"/>
      <c r="AH23" s="82"/>
      <c r="AI23" s="82"/>
      <c r="AJ23" s="82"/>
      <c r="AK23" s="193"/>
      <c r="AL23" s="82"/>
      <c r="AM23" s="82"/>
      <c r="AN23" s="88"/>
    </row>
    <row r="24" spans="1:40" ht="12" hidden="1" customHeight="1" x14ac:dyDescent="0.35">
      <c r="A24" s="79"/>
      <c r="B24" s="80"/>
      <c r="C24" s="82"/>
      <c r="D24" s="82"/>
      <c r="E24" s="80"/>
      <c r="F24" s="82"/>
      <c r="G24" s="82"/>
      <c r="H24" s="82"/>
      <c r="I24" s="82"/>
      <c r="J24" s="82"/>
      <c r="K24" s="82"/>
      <c r="L24" s="82"/>
      <c r="M24" s="82"/>
      <c r="N24" s="82"/>
      <c r="O24" s="81"/>
      <c r="P24" s="82"/>
      <c r="Q24" s="82"/>
      <c r="R24" s="81">
        <v>42005</v>
      </c>
      <c r="S24" s="81">
        <v>42247</v>
      </c>
      <c r="T24" s="82">
        <v>8</v>
      </c>
      <c r="U24" s="83">
        <v>5.42</v>
      </c>
      <c r="V24" s="82">
        <v>0.5</v>
      </c>
      <c r="W24" s="82"/>
      <c r="X24" s="82"/>
      <c r="Y24" s="83">
        <v>5.92</v>
      </c>
      <c r="Z24" s="84">
        <v>1150000</v>
      </c>
      <c r="AA24" s="84">
        <v>54464000</v>
      </c>
      <c r="AB24" s="82"/>
      <c r="AC24" s="82"/>
      <c r="AD24" s="82"/>
      <c r="AE24" s="82"/>
      <c r="AF24" s="82"/>
      <c r="AG24" s="82"/>
      <c r="AH24" s="82"/>
      <c r="AI24" s="82"/>
      <c r="AJ24" s="82"/>
      <c r="AK24" s="193"/>
      <c r="AL24" s="82"/>
      <c r="AM24" s="82"/>
      <c r="AN24" s="88"/>
    </row>
    <row r="25" spans="1:40" ht="12" hidden="1" customHeight="1" x14ac:dyDescent="0.35">
      <c r="A25" s="89"/>
      <c r="B25" s="90"/>
      <c r="C25" s="91"/>
      <c r="D25" s="91"/>
      <c r="E25" s="90"/>
      <c r="F25" s="91"/>
      <c r="G25" s="91"/>
      <c r="H25" s="91"/>
      <c r="I25" s="91"/>
      <c r="J25" s="91"/>
      <c r="K25" s="91"/>
      <c r="L25" s="91"/>
      <c r="M25" s="91"/>
      <c r="N25" s="91"/>
      <c r="O25" s="92"/>
      <c r="P25" s="91"/>
      <c r="Q25" s="91"/>
      <c r="R25" s="92"/>
      <c r="S25" s="92"/>
      <c r="T25" s="91">
        <v>60</v>
      </c>
      <c r="U25" s="93"/>
      <c r="V25" s="92"/>
      <c r="W25" s="92"/>
      <c r="X25" s="92"/>
      <c r="Y25" s="93"/>
      <c r="Z25" s="94"/>
      <c r="AA25" s="94">
        <v>331932000</v>
      </c>
      <c r="AB25" s="91"/>
      <c r="AC25" s="91"/>
      <c r="AD25" s="91"/>
      <c r="AE25" s="91"/>
      <c r="AF25" s="91"/>
      <c r="AG25" s="91"/>
      <c r="AH25" s="91"/>
      <c r="AI25" s="91"/>
      <c r="AJ25" s="91"/>
      <c r="AK25" s="194"/>
      <c r="AL25" s="91"/>
      <c r="AM25" s="91"/>
      <c r="AN25" s="95"/>
    </row>
    <row r="26" spans="1:40" x14ac:dyDescent="0.35">
      <c r="A26" s="96">
        <v>3</v>
      </c>
      <c r="B26" s="97" t="s">
        <v>199</v>
      </c>
      <c r="C26" s="98">
        <v>22221</v>
      </c>
      <c r="D26" s="160" t="s">
        <v>203</v>
      </c>
      <c r="E26" s="97" t="s">
        <v>227</v>
      </c>
      <c r="F26" s="100">
        <v>2.65</v>
      </c>
      <c r="G26" s="98">
        <v>40269</v>
      </c>
      <c r="H26" s="99"/>
      <c r="I26" s="98"/>
      <c r="J26" s="99"/>
      <c r="K26" s="99"/>
      <c r="L26" s="99"/>
      <c r="M26" s="99"/>
      <c r="N26" s="100"/>
      <c r="O26" s="98"/>
      <c r="P26" s="100"/>
      <c r="Q26" s="98"/>
      <c r="R26" s="98">
        <v>40422</v>
      </c>
      <c r="S26" s="98">
        <v>40663</v>
      </c>
      <c r="T26" s="99">
        <v>8</v>
      </c>
      <c r="U26" s="99">
        <v>2.65</v>
      </c>
      <c r="V26" s="99"/>
      <c r="W26" s="141"/>
      <c r="X26" s="99"/>
      <c r="Y26" s="100">
        <v>2.65</v>
      </c>
      <c r="Z26" s="101">
        <v>730000</v>
      </c>
      <c r="AA26" s="101">
        <v>15476000</v>
      </c>
      <c r="AB26" s="103">
        <v>3047500</v>
      </c>
      <c r="AC26" s="226">
        <v>2667666.6666666665</v>
      </c>
      <c r="AD26" s="99" t="s">
        <v>202</v>
      </c>
      <c r="AE26" s="99"/>
      <c r="AF26" s="98">
        <v>42248</v>
      </c>
      <c r="AG26" s="99">
        <v>54</v>
      </c>
      <c r="AH26" s="99">
        <v>10</v>
      </c>
      <c r="AI26" s="99">
        <v>0</v>
      </c>
      <c r="AJ26" s="99" t="s">
        <v>251</v>
      </c>
      <c r="AK26" s="192">
        <v>53159000</v>
      </c>
      <c r="AL26" s="103">
        <v>9142500</v>
      </c>
      <c r="AM26" s="103">
        <v>44016500</v>
      </c>
      <c r="AN26" s="104" t="s">
        <v>147</v>
      </c>
    </row>
    <row r="27" spans="1:40" hidden="1" x14ac:dyDescent="0.35">
      <c r="A27" s="79"/>
      <c r="B27" s="80"/>
      <c r="C27" s="82"/>
      <c r="D27" s="82"/>
      <c r="E27" s="80"/>
      <c r="F27" s="82"/>
      <c r="G27" s="82"/>
      <c r="H27" s="82"/>
      <c r="I27" s="82"/>
      <c r="J27" s="82"/>
      <c r="K27" s="82"/>
      <c r="L27" s="82"/>
      <c r="M27" s="82"/>
      <c r="N27" s="82"/>
      <c r="O27" s="81"/>
      <c r="P27" s="82"/>
      <c r="Q27" s="81"/>
      <c r="R27" s="81">
        <v>40664</v>
      </c>
      <c r="S27" s="81">
        <v>41029</v>
      </c>
      <c r="T27" s="82">
        <v>12</v>
      </c>
      <c r="U27" s="99">
        <v>2.65</v>
      </c>
      <c r="V27" s="82"/>
      <c r="W27" s="112"/>
      <c r="X27" s="112"/>
      <c r="Y27" s="83">
        <v>2.65</v>
      </c>
      <c r="Z27" s="84">
        <v>830000</v>
      </c>
      <c r="AA27" s="84">
        <v>26393999.999999996</v>
      </c>
      <c r="AB27" s="82"/>
      <c r="AC27" s="82"/>
      <c r="AD27" s="82"/>
      <c r="AE27" s="82"/>
      <c r="AF27" s="82"/>
      <c r="AG27" s="82"/>
      <c r="AH27" s="82"/>
      <c r="AI27" s="82"/>
      <c r="AJ27" s="82"/>
      <c r="AK27" s="193"/>
      <c r="AL27" s="82"/>
      <c r="AM27" s="85"/>
      <c r="AN27" s="88"/>
    </row>
    <row r="28" spans="1:40" hidden="1" x14ac:dyDescent="0.35">
      <c r="A28" s="79"/>
      <c r="B28" s="80"/>
      <c r="C28" s="82"/>
      <c r="D28" s="82"/>
      <c r="E28" s="80"/>
      <c r="F28" s="82"/>
      <c r="G28" s="82"/>
      <c r="H28" s="82"/>
      <c r="I28" s="82"/>
      <c r="J28" s="82"/>
      <c r="K28" s="82"/>
      <c r="L28" s="82"/>
      <c r="M28" s="82"/>
      <c r="N28" s="82"/>
      <c r="O28" s="81"/>
      <c r="P28" s="82"/>
      <c r="Q28" s="81"/>
      <c r="R28" s="81">
        <v>41030</v>
      </c>
      <c r="S28" s="81">
        <v>41455</v>
      </c>
      <c r="T28" s="82">
        <v>14</v>
      </c>
      <c r="U28" s="99">
        <v>2.65</v>
      </c>
      <c r="V28" s="82"/>
      <c r="W28" s="112"/>
      <c r="X28" s="112"/>
      <c r="Y28" s="83">
        <v>2.65</v>
      </c>
      <c r="Z28" s="84">
        <v>1050000</v>
      </c>
      <c r="AA28" s="84">
        <v>38955000</v>
      </c>
      <c r="AB28" s="85"/>
      <c r="AC28" s="85"/>
      <c r="AD28" s="82"/>
      <c r="AE28" s="82"/>
      <c r="AF28" s="82"/>
      <c r="AG28" s="82"/>
      <c r="AH28" s="82"/>
      <c r="AI28" s="82"/>
      <c r="AJ28" s="82"/>
      <c r="AK28" s="193"/>
      <c r="AL28" s="82"/>
      <c r="AM28" s="82"/>
      <c r="AN28" s="88"/>
    </row>
    <row r="29" spans="1:40" hidden="1" x14ac:dyDescent="0.35">
      <c r="A29" s="79"/>
      <c r="B29" s="80"/>
      <c r="C29" s="82"/>
      <c r="D29" s="82"/>
      <c r="E29" s="80"/>
      <c r="F29" s="82"/>
      <c r="G29" s="82"/>
      <c r="H29" s="82"/>
      <c r="I29" s="82"/>
      <c r="J29" s="82"/>
      <c r="K29" s="82"/>
      <c r="L29" s="82"/>
      <c r="M29" s="82"/>
      <c r="N29" s="82"/>
      <c r="O29" s="81"/>
      <c r="P29" s="82"/>
      <c r="Q29" s="82"/>
      <c r="R29" s="81">
        <v>41456</v>
      </c>
      <c r="S29" s="81">
        <v>42247</v>
      </c>
      <c r="T29" s="82">
        <v>26</v>
      </c>
      <c r="U29" s="82">
        <v>2.65</v>
      </c>
      <c r="V29" s="82"/>
      <c r="W29" s="112"/>
      <c r="X29" s="112"/>
      <c r="Y29" s="83">
        <v>2.65</v>
      </c>
      <c r="Z29" s="84">
        <v>1150000</v>
      </c>
      <c r="AA29" s="84">
        <v>79234999.999999985</v>
      </c>
      <c r="AB29" s="82"/>
      <c r="AC29" s="82"/>
      <c r="AD29" s="82"/>
      <c r="AE29" s="82"/>
      <c r="AF29" s="82"/>
      <c r="AG29" s="82"/>
      <c r="AH29" s="82"/>
      <c r="AI29" s="82"/>
      <c r="AJ29" s="82"/>
      <c r="AK29" s="193"/>
      <c r="AL29" s="82"/>
      <c r="AM29" s="82"/>
      <c r="AN29" s="88"/>
    </row>
    <row r="30" spans="1:40" hidden="1" x14ac:dyDescent="0.35">
      <c r="A30" s="89"/>
      <c r="B30" s="90"/>
      <c r="C30" s="91"/>
      <c r="D30" s="91"/>
      <c r="E30" s="90"/>
      <c r="F30" s="91"/>
      <c r="G30" s="91"/>
      <c r="H30" s="91"/>
      <c r="I30" s="91"/>
      <c r="J30" s="91"/>
      <c r="K30" s="91"/>
      <c r="L30" s="91"/>
      <c r="M30" s="91"/>
      <c r="N30" s="91"/>
      <c r="O30" s="92"/>
      <c r="P30" s="91"/>
      <c r="Q30" s="91"/>
      <c r="R30" s="92"/>
      <c r="S30" s="92"/>
      <c r="T30" s="91">
        <v>60</v>
      </c>
      <c r="U30" s="93"/>
      <c r="V30" s="92"/>
      <c r="W30" s="92"/>
      <c r="X30" s="92"/>
      <c r="Y30" s="93"/>
      <c r="Z30" s="94"/>
      <c r="AA30" s="94">
        <v>160060000</v>
      </c>
      <c r="AB30" s="91"/>
      <c r="AC30" s="91"/>
      <c r="AD30" s="91"/>
      <c r="AE30" s="91"/>
      <c r="AF30" s="91"/>
      <c r="AG30" s="91"/>
      <c r="AH30" s="91"/>
      <c r="AI30" s="91"/>
      <c r="AJ30" s="91"/>
      <c r="AK30" s="194"/>
      <c r="AL30" s="91"/>
      <c r="AM30" s="91"/>
      <c r="AN30" s="95"/>
    </row>
    <row r="31" spans="1:40" x14ac:dyDescent="0.35">
      <c r="A31" s="96">
        <v>4</v>
      </c>
      <c r="B31" s="97" t="s">
        <v>320</v>
      </c>
      <c r="C31" s="98">
        <v>25403</v>
      </c>
      <c r="D31" s="160" t="s">
        <v>203</v>
      </c>
      <c r="E31" s="97" t="s">
        <v>321</v>
      </c>
      <c r="F31" s="100">
        <v>2.25</v>
      </c>
      <c r="G31" s="98">
        <v>40452</v>
      </c>
      <c r="H31" s="99"/>
      <c r="I31" s="98"/>
      <c r="J31" s="99"/>
      <c r="K31" s="99"/>
      <c r="L31" s="99"/>
      <c r="M31" s="99"/>
      <c r="N31" s="100"/>
      <c r="O31" s="98"/>
      <c r="P31" s="100">
        <v>1.95</v>
      </c>
      <c r="Q31" s="98">
        <v>38626</v>
      </c>
      <c r="R31" s="98">
        <v>40422</v>
      </c>
      <c r="S31" s="98">
        <v>40451</v>
      </c>
      <c r="T31" s="99">
        <v>1</v>
      </c>
      <c r="U31" s="99">
        <v>1.95</v>
      </c>
      <c r="V31" s="99"/>
      <c r="W31" s="141"/>
      <c r="X31" s="99"/>
      <c r="Y31" s="100">
        <v>1.95</v>
      </c>
      <c r="Z31" s="101">
        <v>730000</v>
      </c>
      <c r="AA31" s="101">
        <v>1423500</v>
      </c>
      <c r="AB31" s="103">
        <v>2587500</v>
      </c>
      <c r="AC31" s="226">
        <v>2261350</v>
      </c>
      <c r="AD31" s="99" t="s">
        <v>322</v>
      </c>
      <c r="AE31" s="99"/>
      <c r="AF31" s="98">
        <v>42248</v>
      </c>
      <c r="AG31" s="99">
        <v>46</v>
      </c>
      <c r="AH31" s="99">
        <v>1</v>
      </c>
      <c r="AI31" s="99">
        <v>13</v>
      </c>
      <c r="AJ31" s="99" t="s">
        <v>325</v>
      </c>
      <c r="AK31" s="192">
        <v>41682750</v>
      </c>
      <c r="AL31" s="103">
        <v>7762500</v>
      </c>
      <c r="AM31" s="103">
        <v>33920250</v>
      </c>
      <c r="AN31" s="104" t="s">
        <v>239</v>
      </c>
    </row>
    <row r="32" spans="1:40" hidden="1" x14ac:dyDescent="0.35">
      <c r="A32" s="96"/>
      <c r="B32" s="97"/>
      <c r="C32" s="98"/>
      <c r="D32" s="160"/>
      <c r="E32" s="97"/>
      <c r="F32" s="100"/>
      <c r="G32" s="98"/>
      <c r="H32" s="99"/>
      <c r="I32" s="98"/>
      <c r="J32" s="99"/>
      <c r="K32" s="99"/>
      <c r="L32" s="99"/>
      <c r="M32" s="99"/>
      <c r="N32" s="100"/>
      <c r="O32" s="98"/>
      <c r="P32" s="100"/>
      <c r="Q32" s="98"/>
      <c r="R32" s="98">
        <v>40452</v>
      </c>
      <c r="S32" s="98">
        <v>40663</v>
      </c>
      <c r="T32" s="99">
        <v>7</v>
      </c>
      <c r="U32" s="99">
        <v>2.25</v>
      </c>
      <c r="V32" s="99"/>
      <c r="W32" s="141"/>
      <c r="X32" s="99"/>
      <c r="Y32" s="100">
        <v>2.25</v>
      </c>
      <c r="Z32" s="101">
        <v>730000</v>
      </c>
      <c r="AA32" s="101">
        <v>11497500</v>
      </c>
      <c r="AB32" s="103"/>
      <c r="AC32" s="103"/>
      <c r="AD32" s="99"/>
      <c r="AE32" s="99"/>
      <c r="AF32" s="98"/>
      <c r="AG32" s="99"/>
      <c r="AH32" s="99"/>
      <c r="AI32" s="99"/>
      <c r="AJ32" s="99"/>
      <c r="AK32" s="204"/>
      <c r="AL32" s="103"/>
      <c r="AM32" s="103"/>
      <c r="AN32" s="208"/>
    </row>
    <row r="33" spans="1:40" hidden="1" x14ac:dyDescent="0.35">
      <c r="A33" s="79"/>
      <c r="B33" s="80"/>
      <c r="C33" s="82"/>
      <c r="D33" s="82"/>
      <c r="E33" s="80"/>
      <c r="F33" s="82"/>
      <c r="G33" s="82"/>
      <c r="H33" s="82"/>
      <c r="I33" s="82"/>
      <c r="J33" s="82"/>
      <c r="K33" s="82"/>
      <c r="L33" s="82"/>
      <c r="M33" s="82"/>
      <c r="N33" s="82"/>
      <c r="O33" s="81"/>
      <c r="P33" s="82"/>
      <c r="Q33" s="81"/>
      <c r="R33" s="81">
        <v>40664</v>
      </c>
      <c r="S33" s="81">
        <v>41029</v>
      </c>
      <c r="T33" s="82">
        <v>12</v>
      </c>
      <c r="U33" s="99">
        <v>2.25</v>
      </c>
      <c r="V33" s="82"/>
      <c r="W33" s="112"/>
      <c r="X33" s="112"/>
      <c r="Y33" s="83">
        <v>2.25</v>
      </c>
      <c r="Z33" s="84">
        <v>830000</v>
      </c>
      <c r="AA33" s="84">
        <v>22410000</v>
      </c>
      <c r="AB33" s="82"/>
      <c r="AC33" s="82"/>
      <c r="AD33" s="82"/>
      <c r="AE33" s="82"/>
      <c r="AF33" s="82"/>
      <c r="AG33" s="82"/>
      <c r="AH33" s="82"/>
      <c r="AI33" s="82"/>
      <c r="AJ33" s="82"/>
      <c r="AK33" s="205"/>
      <c r="AL33" s="82"/>
      <c r="AM33" s="85"/>
      <c r="AN33" s="209"/>
    </row>
    <row r="34" spans="1:40" hidden="1" x14ac:dyDescent="0.35">
      <c r="A34" s="79"/>
      <c r="B34" s="80"/>
      <c r="C34" s="82"/>
      <c r="D34" s="82"/>
      <c r="E34" s="80"/>
      <c r="F34" s="82"/>
      <c r="G34" s="82"/>
      <c r="H34" s="82"/>
      <c r="I34" s="82"/>
      <c r="J34" s="82"/>
      <c r="K34" s="82"/>
      <c r="L34" s="82"/>
      <c r="M34" s="82"/>
      <c r="N34" s="82"/>
      <c r="O34" s="81"/>
      <c r="P34" s="82"/>
      <c r="Q34" s="81"/>
      <c r="R34" s="81">
        <v>41030</v>
      </c>
      <c r="S34" s="81">
        <v>41455</v>
      </c>
      <c r="T34" s="82">
        <v>14</v>
      </c>
      <c r="U34" s="99">
        <v>2.25</v>
      </c>
      <c r="V34" s="82"/>
      <c r="W34" s="112"/>
      <c r="X34" s="112"/>
      <c r="Y34" s="83">
        <v>2.25</v>
      </c>
      <c r="Z34" s="84">
        <v>1050000</v>
      </c>
      <c r="AA34" s="84">
        <v>33075000</v>
      </c>
      <c r="AB34" s="85"/>
      <c r="AC34" s="85"/>
      <c r="AD34" s="82"/>
      <c r="AE34" s="82"/>
      <c r="AF34" s="82"/>
      <c r="AG34" s="82"/>
      <c r="AH34" s="82"/>
      <c r="AI34" s="82"/>
      <c r="AJ34" s="82"/>
      <c r="AK34" s="205"/>
      <c r="AL34" s="82"/>
      <c r="AM34" s="82"/>
      <c r="AN34" s="209"/>
    </row>
    <row r="35" spans="1:40" hidden="1" x14ac:dyDescent="0.35">
      <c r="A35" s="79"/>
      <c r="B35" s="80"/>
      <c r="C35" s="82"/>
      <c r="D35" s="82"/>
      <c r="E35" s="80"/>
      <c r="F35" s="82"/>
      <c r="G35" s="82"/>
      <c r="H35" s="82"/>
      <c r="I35" s="82"/>
      <c r="J35" s="82"/>
      <c r="K35" s="82"/>
      <c r="L35" s="82"/>
      <c r="M35" s="82"/>
      <c r="N35" s="82"/>
      <c r="O35" s="81"/>
      <c r="P35" s="82"/>
      <c r="Q35" s="82"/>
      <c r="R35" s="81">
        <v>41456</v>
      </c>
      <c r="S35" s="81">
        <v>42247</v>
      </c>
      <c r="T35" s="82">
        <v>26</v>
      </c>
      <c r="U35" s="99">
        <v>2.25</v>
      </c>
      <c r="V35" s="82"/>
      <c r="W35" s="112"/>
      <c r="X35" s="112"/>
      <c r="Y35" s="83">
        <v>2.25</v>
      </c>
      <c r="Z35" s="84">
        <v>1150000</v>
      </c>
      <c r="AA35" s="84">
        <v>67275000</v>
      </c>
      <c r="AB35" s="82"/>
      <c r="AC35" s="82"/>
      <c r="AD35" s="82"/>
      <c r="AE35" s="82"/>
      <c r="AF35" s="82"/>
      <c r="AG35" s="82"/>
      <c r="AH35" s="82"/>
      <c r="AI35" s="82"/>
      <c r="AJ35" s="82"/>
      <c r="AK35" s="205"/>
      <c r="AL35" s="82"/>
      <c r="AM35" s="82"/>
      <c r="AN35" s="209"/>
    </row>
    <row r="36" spans="1:40" hidden="1" x14ac:dyDescent="0.35">
      <c r="A36" s="89"/>
      <c r="B36" s="90"/>
      <c r="C36" s="91"/>
      <c r="D36" s="91"/>
      <c r="E36" s="90"/>
      <c r="F36" s="91"/>
      <c r="G36" s="91"/>
      <c r="H36" s="91"/>
      <c r="I36" s="91"/>
      <c r="J36" s="91"/>
      <c r="K36" s="91"/>
      <c r="L36" s="91"/>
      <c r="M36" s="91"/>
      <c r="N36" s="91"/>
      <c r="O36" s="92"/>
      <c r="P36" s="91"/>
      <c r="Q36" s="91"/>
      <c r="R36" s="92"/>
      <c r="S36" s="92"/>
      <c r="T36" s="91">
        <v>60</v>
      </c>
      <c r="U36" s="93"/>
      <c r="V36" s="92"/>
      <c r="W36" s="92"/>
      <c r="X36" s="92"/>
      <c r="Y36" s="93"/>
      <c r="Z36" s="94"/>
      <c r="AA36" s="94">
        <v>135681000</v>
      </c>
      <c r="AB36" s="91"/>
      <c r="AC36" s="91"/>
      <c r="AD36" s="91"/>
      <c r="AE36" s="91"/>
      <c r="AF36" s="91"/>
      <c r="AG36" s="91"/>
      <c r="AH36" s="91"/>
      <c r="AI36" s="91"/>
      <c r="AJ36" s="91"/>
      <c r="AK36" s="206"/>
      <c r="AL36" s="91"/>
      <c r="AM36" s="91"/>
      <c r="AN36" s="210"/>
    </row>
    <row r="37" spans="1:40" ht="21" x14ac:dyDescent="0.35">
      <c r="A37" s="79">
        <v>5</v>
      </c>
      <c r="B37" s="80" t="s">
        <v>165</v>
      </c>
      <c r="C37" s="81">
        <v>24765</v>
      </c>
      <c r="D37" s="82" t="s">
        <v>182</v>
      </c>
      <c r="E37" s="80" t="s">
        <v>225</v>
      </c>
      <c r="F37" s="83">
        <v>2.0699999999999998</v>
      </c>
      <c r="G37" s="81">
        <v>41883</v>
      </c>
      <c r="H37" s="82"/>
      <c r="I37" s="81"/>
      <c r="J37" s="82"/>
      <c r="K37" s="82"/>
      <c r="L37" s="82"/>
      <c r="M37" s="82"/>
      <c r="N37" s="83">
        <v>1.28</v>
      </c>
      <c r="O37" s="81" t="s">
        <v>231</v>
      </c>
      <c r="P37" s="83" t="s">
        <v>291</v>
      </c>
      <c r="Q37" s="81" t="s">
        <v>292</v>
      </c>
      <c r="R37" s="81">
        <v>40422</v>
      </c>
      <c r="S37" s="81">
        <v>40663</v>
      </c>
      <c r="T37" s="82">
        <v>8</v>
      </c>
      <c r="U37" s="83">
        <v>2.46</v>
      </c>
      <c r="V37" s="82"/>
      <c r="W37" s="82"/>
      <c r="X37" s="82"/>
      <c r="Y37" s="83">
        <v>2.46</v>
      </c>
      <c r="Z37" s="84">
        <v>730000</v>
      </c>
      <c r="AA37" s="84">
        <v>14366400</v>
      </c>
      <c r="AB37" s="85">
        <v>2380500</v>
      </c>
      <c r="AC37" s="227">
        <v>1957000</v>
      </c>
      <c r="AD37" s="82" t="s">
        <v>166</v>
      </c>
      <c r="AE37" s="82"/>
      <c r="AF37" s="81">
        <v>42248</v>
      </c>
      <c r="AG37" s="82">
        <v>47</v>
      </c>
      <c r="AH37" s="82">
        <v>10</v>
      </c>
      <c r="AI37" s="82">
        <v>12</v>
      </c>
      <c r="AJ37" s="82" t="s">
        <v>252</v>
      </c>
      <c r="AK37" s="195">
        <v>65851500</v>
      </c>
      <c r="AL37" s="85">
        <v>7141500</v>
      </c>
      <c r="AM37" s="85">
        <v>58710000</v>
      </c>
      <c r="AN37" s="88" t="s">
        <v>147</v>
      </c>
    </row>
    <row r="38" spans="1:40" hidden="1" x14ac:dyDescent="0.35">
      <c r="A38" s="79"/>
      <c r="B38" s="80"/>
      <c r="C38" s="82"/>
      <c r="D38" s="82"/>
      <c r="E38" s="80"/>
      <c r="F38" s="82"/>
      <c r="G38" s="82"/>
      <c r="H38" s="82"/>
      <c r="I38" s="82"/>
      <c r="J38" s="82"/>
      <c r="K38" s="82"/>
      <c r="L38" s="82"/>
      <c r="M38" s="82"/>
      <c r="N38" s="82"/>
      <c r="O38" s="81"/>
      <c r="P38" s="82"/>
      <c r="Q38" s="81"/>
      <c r="R38" s="81">
        <v>40664</v>
      </c>
      <c r="S38" s="81">
        <v>41029</v>
      </c>
      <c r="T38" s="82">
        <v>12</v>
      </c>
      <c r="U38" s="83">
        <v>1.71</v>
      </c>
      <c r="V38" s="82"/>
      <c r="W38" s="82"/>
      <c r="X38" s="82"/>
      <c r="Y38" s="83">
        <v>1.71</v>
      </c>
      <c r="Z38" s="84">
        <v>830000</v>
      </c>
      <c r="AA38" s="84">
        <v>17031600</v>
      </c>
      <c r="AB38" s="82"/>
      <c r="AC38" s="82"/>
      <c r="AD38" s="82"/>
      <c r="AE38" s="82"/>
      <c r="AF38" s="82"/>
      <c r="AG38" s="82"/>
      <c r="AH38" s="82"/>
      <c r="AI38" s="82"/>
      <c r="AJ38" s="82"/>
      <c r="AK38" s="193"/>
      <c r="AL38" s="82"/>
      <c r="AM38" s="85"/>
      <c r="AN38" s="88"/>
    </row>
    <row r="39" spans="1:40" hidden="1" x14ac:dyDescent="0.35">
      <c r="A39" s="79"/>
      <c r="B39" s="80"/>
      <c r="C39" s="82"/>
      <c r="D39" s="82"/>
      <c r="E39" s="80"/>
      <c r="F39" s="82"/>
      <c r="G39" s="82"/>
      <c r="H39" s="82"/>
      <c r="I39" s="82"/>
      <c r="J39" s="82"/>
      <c r="K39" s="82"/>
      <c r="L39" s="82"/>
      <c r="M39" s="82"/>
      <c r="N39" s="82"/>
      <c r="O39" s="81"/>
      <c r="P39" s="82"/>
      <c r="Q39" s="81"/>
      <c r="R39" s="81">
        <v>41030</v>
      </c>
      <c r="S39" s="81">
        <v>41152</v>
      </c>
      <c r="T39" s="82">
        <v>4</v>
      </c>
      <c r="U39" s="83">
        <v>1.71</v>
      </c>
      <c r="V39" s="82"/>
      <c r="W39" s="82"/>
      <c r="X39" s="82"/>
      <c r="Y39" s="83">
        <v>1.71</v>
      </c>
      <c r="Z39" s="84">
        <v>1050000</v>
      </c>
      <c r="AA39" s="84">
        <v>7182000</v>
      </c>
      <c r="AB39" s="85"/>
      <c r="AC39" s="85"/>
      <c r="AD39" s="82"/>
      <c r="AE39" s="82"/>
      <c r="AF39" s="82"/>
      <c r="AG39" s="82"/>
      <c r="AH39" s="82"/>
      <c r="AI39" s="82"/>
      <c r="AJ39" s="82"/>
      <c r="AK39" s="193"/>
      <c r="AL39" s="82"/>
      <c r="AM39" s="82"/>
      <c r="AN39" s="88"/>
    </row>
    <row r="40" spans="1:40" hidden="1" x14ac:dyDescent="0.35">
      <c r="A40" s="79"/>
      <c r="B40" s="80"/>
      <c r="C40" s="82"/>
      <c r="D40" s="82"/>
      <c r="E40" s="80"/>
      <c r="F40" s="82"/>
      <c r="G40" s="82"/>
      <c r="H40" s="82"/>
      <c r="I40" s="82"/>
      <c r="J40" s="82"/>
      <c r="K40" s="82"/>
      <c r="L40" s="82"/>
      <c r="M40" s="82"/>
      <c r="N40" s="82"/>
      <c r="O40" s="81"/>
      <c r="P40" s="82"/>
      <c r="Q40" s="82"/>
      <c r="R40" s="81">
        <v>41153</v>
      </c>
      <c r="S40" s="81">
        <v>41455</v>
      </c>
      <c r="T40" s="82">
        <v>10</v>
      </c>
      <c r="U40" s="83">
        <v>1.89</v>
      </c>
      <c r="V40" s="82"/>
      <c r="W40" s="82"/>
      <c r="X40" s="82"/>
      <c r="Y40" s="83">
        <v>1.89</v>
      </c>
      <c r="Z40" s="84">
        <v>1050000</v>
      </c>
      <c r="AA40" s="84">
        <v>19845000</v>
      </c>
      <c r="AB40" s="82"/>
      <c r="AC40" s="82"/>
      <c r="AD40" s="82"/>
      <c r="AE40" s="82"/>
      <c r="AF40" s="82"/>
      <c r="AG40" s="82"/>
      <c r="AH40" s="82"/>
      <c r="AI40" s="82"/>
      <c r="AJ40" s="82"/>
      <c r="AK40" s="193"/>
      <c r="AL40" s="82"/>
      <c r="AM40" s="82"/>
      <c r="AN40" s="88"/>
    </row>
    <row r="41" spans="1:40" hidden="1" x14ac:dyDescent="0.35">
      <c r="A41" s="79"/>
      <c r="B41" s="80"/>
      <c r="C41" s="82"/>
      <c r="D41" s="82"/>
      <c r="E41" s="80"/>
      <c r="F41" s="82"/>
      <c r="G41" s="82"/>
      <c r="H41" s="82"/>
      <c r="I41" s="82"/>
      <c r="J41" s="82"/>
      <c r="K41" s="82"/>
      <c r="L41" s="82"/>
      <c r="M41" s="82"/>
      <c r="N41" s="82"/>
      <c r="O41" s="81"/>
      <c r="P41" s="82"/>
      <c r="Q41" s="82"/>
      <c r="R41" s="81">
        <v>41456</v>
      </c>
      <c r="S41" s="81">
        <v>41882</v>
      </c>
      <c r="T41" s="82">
        <v>14</v>
      </c>
      <c r="U41" s="83">
        <v>1.89</v>
      </c>
      <c r="V41" s="82"/>
      <c r="W41" s="82"/>
      <c r="X41" s="82"/>
      <c r="Y41" s="83">
        <v>1.89</v>
      </c>
      <c r="Z41" s="84">
        <v>1150000</v>
      </c>
      <c r="AA41" s="84">
        <v>30428999.999999996</v>
      </c>
      <c r="AB41" s="82"/>
      <c r="AC41" s="82"/>
      <c r="AD41" s="82"/>
      <c r="AE41" s="82"/>
      <c r="AF41" s="82"/>
      <c r="AG41" s="82"/>
      <c r="AH41" s="82"/>
      <c r="AI41" s="82"/>
      <c r="AJ41" s="82"/>
      <c r="AK41" s="193"/>
      <c r="AL41" s="82"/>
      <c r="AM41" s="82"/>
      <c r="AN41" s="88"/>
    </row>
    <row r="42" spans="1:40" hidden="1" x14ac:dyDescent="0.35">
      <c r="A42" s="79"/>
      <c r="B42" s="80"/>
      <c r="C42" s="82"/>
      <c r="D42" s="82"/>
      <c r="E42" s="80"/>
      <c r="F42" s="82"/>
      <c r="G42" s="82"/>
      <c r="H42" s="82"/>
      <c r="I42" s="82"/>
      <c r="J42" s="82"/>
      <c r="K42" s="82"/>
      <c r="L42" s="82"/>
      <c r="M42" s="82"/>
      <c r="N42" s="82"/>
      <c r="O42" s="81"/>
      <c r="P42" s="82"/>
      <c r="Q42" s="82"/>
      <c r="R42" s="81">
        <v>41883</v>
      </c>
      <c r="S42" s="81">
        <v>42247</v>
      </c>
      <c r="T42" s="82">
        <v>12</v>
      </c>
      <c r="U42" s="83">
        <v>2.0699999999999998</v>
      </c>
      <c r="V42" s="82"/>
      <c r="W42" s="82"/>
      <c r="X42" s="82"/>
      <c r="Y42" s="83">
        <v>2.0699999999999998</v>
      </c>
      <c r="Z42" s="84">
        <v>1150000</v>
      </c>
      <c r="AA42" s="84">
        <v>28565999.999999996</v>
      </c>
      <c r="AB42" s="82"/>
      <c r="AC42" s="82"/>
      <c r="AD42" s="82"/>
      <c r="AE42" s="82"/>
      <c r="AF42" s="82"/>
      <c r="AG42" s="82"/>
      <c r="AH42" s="82"/>
      <c r="AI42" s="82"/>
      <c r="AJ42" s="82"/>
      <c r="AK42" s="193"/>
      <c r="AL42" s="82"/>
      <c r="AM42" s="82"/>
      <c r="AN42" s="88"/>
    </row>
    <row r="43" spans="1:40" hidden="1" x14ac:dyDescent="0.35">
      <c r="A43" s="89"/>
      <c r="B43" s="90"/>
      <c r="C43" s="91"/>
      <c r="D43" s="91"/>
      <c r="E43" s="90"/>
      <c r="F43" s="91"/>
      <c r="G43" s="91"/>
      <c r="H43" s="91"/>
      <c r="I43" s="91"/>
      <c r="J43" s="91"/>
      <c r="K43" s="91"/>
      <c r="L43" s="91"/>
      <c r="M43" s="91"/>
      <c r="N43" s="91"/>
      <c r="O43" s="92"/>
      <c r="P43" s="91"/>
      <c r="Q43" s="91"/>
      <c r="R43" s="92"/>
      <c r="S43" s="92"/>
      <c r="T43" s="91">
        <v>60</v>
      </c>
      <c r="U43" s="93"/>
      <c r="V43" s="92"/>
      <c r="W43" s="92"/>
      <c r="X43" s="92"/>
      <c r="Y43" s="93"/>
      <c r="Z43" s="94"/>
      <c r="AA43" s="94">
        <v>117420000</v>
      </c>
      <c r="AB43" s="91"/>
      <c r="AC43" s="91"/>
      <c r="AD43" s="91"/>
      <c r="AE43" s="91"/>
      <c r="AF43" s="91"/>
      <c r="AG43" s="91"/>
      <c r="AH43" s="91"/>
      <c r="AI43" s="91"/>
      <c r="AJ43" s="91"/>
      <c r="AK43" s="194"/>
      <c r="AL43" s="91"/>
      <c r="AM43" s="91"/>
      <c r="AN43" s="95"/>
    </row>
    <row r="44" spans="1:40" ht="15" thickBot="1" x14ac:dyDescent="0.4">
      <c r="A44" s="96">
        <v>6</v>
      </c>
      <c r="B44" s="97" t="s">
        <v>185</v>
      </c>
      <c r="C44" s="98">
        <v>24400</v>
      </c>
      <c r="D44" s="99" t="s">
        <v>182</v>
      </c>
      <c r="E44" s="97" t="s">
        <v>226</v>
      </c>
      <c r="F44" s="100">
        <v>2.0699999999999998</v>
      </c>
      <c r="G44" s="98">
        <v>41456</v>
      </c>
      <c r="H44" s="99"/>
      <c r="I44" s="98"/>
      <c r="J44" s="99"/>
      <c r="K44" s="99"/>
      <c r="L44" s="99"/>
      <c r="M44" s="99"/>
      <c r="N44" s="100">
        <v>0.54</v>
      </c>
      <c r="O44" s="98" t="s">
        <v>231</v>
      </c>
      <c r="P44" s="100" t="s">
        <v>293</v>
      </c>
      <c r="Q44" s="98" t="s">
        <v>294</v>
      </c>
      <c r="R44" s="98">
        <v>40422</v>
      </c>
      <c r="S44" s="98">
        <v>40663</v>
      </c>
      <c r="T44" s="99">
        <v>8</v>
      </c>
      <c r="U44" s="100">
        <v>2.25</v>
      </c>
      <c r="V44" s="99"/>
      <c r="W44" s="99"/>
      <c r="X44" s="99"/>
      <c r="Y44" s="100">
        <v>2.25</v>
      </c>
      <c r="Z44" s="101">
        <v>730000</v>
      </c>
      <c r="AA44" s="101">
        <v>13140000</v>
      </c>
      <c r="AB44" s="103">
        <v>2380500</v>
      </c>
      <c r="AC44" s="226">
        <v>2022360</v>
      </c>
      <c r="AD44" s="99" t="s">
        <v>186</v>
      </c>
      <c r="AE44" s="99"/>
      <c r="AF44" s="98">
        <v>42248</v>
      </c>
      <c r="AG44" s="99">
        <v>48</v>
      </c>
      <c r="AH44" s="99">
        <v>10</v>
      </c>
      <c r="AI44" s="99">
        <v>12</v>
      </c>
      <c r="AJ44" s="99" t="s">
        <v>253</v>
      </c>
      <c r="AK44" s="192">
        <v>87530310</v>
      </c>
      <c r="AL44" s="103">
        <v>7141500</v>
      </c>
      <c r="AM44" s="103">
        <v>80388810</v>
      </c>
      <c r="AN44" s="104" t="s">
        <v>147</v>
      </c>
    </row>
    <row r="45" spans="1:40" ht="13.5" hidden="1" customHeight="1" x14ac:dyDescent="0.35">
      <c r="A45" s="79"/>
      <c r="B45" s="80"/>
      <c r="C45" s="82"/>
      <c r="D45" s="82"/>
      <c r="E45" s="80"/>
      <c r="F45" s="82"/>
      <c r="G45" s="82"/>
      <c r="H45" s="82"/>
      <c r="I45" s="82"/>
      <c r="J45" s="82"/>
      <c r="K45" s="82"/>
      <c r="L45" s="82"/>
      <c r="M45" s="82"/>
      <c r="N45" s="82"/>
      <c r="O45" s="81"/>
      <c r="P45" s="82"/>
      <c r="Q45" s="81"/>
      <c r="R45" s="81">
        <v>40664</v>
      </c>
      <c r="S45" s="81">
        <v>40724</v>
      </c>
      <c r="T45" s="82">
        <v>2</v>
      </c>
      <c r="U45" s="83">
        <v>1.71</v>
      </c>
      <c r="V45" s="82"/>
      <c r="W45" s="82"/>
      <c r="X45" s="82"/>
      <c r="Y45" s="83">
        <v>1.71</v>
      </c>
      <c r="Z45" s="84">
        <v>830000</v>
      </c>
      <c r="AA45" s="84">
        <v>2838600</v>
      </c>
      <c r="AB45" s="82"/>
      <c r="AC45" s="82"/>
      <c r="AD45" s="82"/>
      <c r="AE45" s="82"/>
      <c r="AF45" s="82"/>
      <c r="AG45" s="82"/>
      <c r="AH45" s="82"/>
      <c r="AI45" s="82"/>
      <c r="AJ45" s="82"/>
      <c r="AK45" s="193"/>
      <c r="AL45" s="82"/>
      <c r="AM45" s="85"/>
      <c r="AN45" s="88"/>
    </row>
    <row r="46" spans="1:40" ht="13.5" hidden="1" customHeight="1" x14ac:dyDescent="0.35">
      <c r="A46" s="79"/>
      <c r="B46" s="80"/>
      <c r="C46" s="82"/>
      <c r="D46" s="82"/>
      <c r="E46" s="80"/>
      <c r="F46" s="82"/>
      <c r="G46" s="82"/>
      <c r="H46" s="82"/>
      <c r="I46" s="82"/>
      <c r="J46" s="82"/>
      <c r="K46" s="82"/>
      <c r="L46" s="82"/>
      <c r="M46" s="82"/>
      <c r="N46" s="82"/>
      <c r="O46" s="81"/>
      <c r="P46" s="82"/>
      <c r="Q46" s="81"/>
      <c r="R46" s="81">
        <v>40725</v>
      </c>
      <c r="S46" s="81">
        <v>41029</v>
      </c>
      <c r="T46" s="82">
        <v>10</v>
      </c>
      <c r="U46" s="83">
        <v>1.89</v>
      </c>
      <c r="V46" s="82"/>
      <c r="W46" s="82"/>
      <c r="X46" s="82"/>
      <c r="Y46" s="83">
        <v>1.89</v>
      </c>
      <c r="Z46" s="84">
        <v>830000</v>
      </c>
      <c r="AA46" s="84">
        <v>15686999.999999998</v>
      </c>
      <c r="AB46" s="82"/>
      <c r="AC46" s="82"/>
      <c r="AD46" s="82"/>
      <c r="AE46" s="82"/>
      <c r="AF46" s="82"/>
      <c r="AG46" s="82"/>
      <c r="AH46" s="82"/>
      <c r="AI46" s="82"/>
      <c r="AJ46" s="82"/>
      <c r="AK46" s="193"/>
      <c r="AL46" s="82"/>
      <c r="AM46" s="85"/>
      <c r="AN46" s="88"/>
    </row>
    <row r="47" spans="1:40" ht="13.5" hidden="1" customHeight="1" x14ac:dyDescent="0.35">
      <c r="A47" s="79"/>
      <c r="B47" s="80"/>
      <c r="C47" s="82"/>
      <c r="D47" s="82"/>
      <c r="E47" s="80"/>
      <c r="F47" s="82"/>
      <c r="G47" s="82"/>
      <c r="H47" s="82"/>
      <c r="I47" s="82"/>
      <c r="J47" s="82"/>
      <c r="K47" s="82"/>
      <c r="L47" s="82"/>
      <c r="M47" s="82"/>
      <c r="N47" s="82"/>
      <c r="O47" s="81"/>
      <c r="P47" s="82"/>
      <c r="Q47" s="81"/>
      <c r="R47" s="81">
        <v>41030</v>
      </c>
      <c r="S47" s="81">
        <v>41455</v>
      </c>
      <c r="T47" s="82">
        <v>14</v>
      </c>
      <c r="U47" s="83">
        <v>1.89</v>
      </c>
      <c r="V47" s="82"/>
      <c r="W47" s="82"/>
      <c r="X47" s="82"/>
      <c r="Y47" s="83">
        <v>1.89</v>
      </c>
      <c r="Z47" s="84">
        <v>1050000</v>
      </c>
      <c r="AA47" s="84">
        <v>27782999.999999996</v>
      </c>
      <c r="AB47" s="85"/>
      <c r="AC47" s="85"/>
      <c r="AD47" s="82"/>
      <c r="AE47" s="82"/>
      <c r="AF47" s="82"/>
      <c r="AG47" s="82"/>
      <c r="AH47" s="82"/>
      <c r="AI47" s="82"/>
      <c r="AJ47" s="82"/>
      <c r="AK47" s="193"/>
      <c r="AL47" s="82"/>
      <c r="AM47" s="82"/>
      <c r="AN47" s="88"/>
    </row>
    <row r="48" spans="1:40" ht="13.5" hidden="1" customHeight="1" x14ac:dyDescent="0.35">
      <c r="A48" s="79"/>
      <c r="B48" s="80"/>
      <c r="C48" s="82"/>
      <c r="D48" s="82"/>
      <c r="E48" s="80"/>
      <c r="F48" s="82"/>
      <c r="G48" s="82"/>
      <c r="H48" s="82"/>
      <c r="I48" s="82"/>
      <c r="J48" s="82"/>
      <c r="K48" s="82"/>
      <c r="L48" s="82"/>
      <c r="M48" s="82"/>
      <c r="N48" s="82"/>
      <c r="O48" s="81"/>
      <c r="P48" s="82"/>
      <c r="Q48" s="82"/>
      <c r="R48" s="81">
        <v>41456</v>
      </c>
      <c r="S48" s="81">
        <v>42247</v>
      </c>
      <c r="T48" s="82">
        <v>26</v>
      </c>
      <c r="U48" s="83">
        <v>2.0699999999999998</v>
      </c>
      <c r="V48" s="82"/>
      <c r="W48" s="82"/>
      <c r="X48" s="82"/>
      <c r="Y48" s="83">
        <v>2.0699999999999998</v>
      </c>
      <c r="Z48" s="84">
        <v>1150000</v>
      </c>
      <c r="AA48" s="84">
        <v>61892999.999999993</v>
      </c>
      <c r="AB48" s="82"/>
      <c r="AC48" s="82"/>
      <c r="AD48" s="82"/>
      <c r="AE48" s="82"/>
      <c r="AF48" s="82"/>
      <c r="AG48" s="82"/>
      <c r="AH48" s="82"/>
      <c r="AI48" s="82"/>
      <c r="AJ48" s="82"/>
      <c r="AK48" s="193"/>
      <c r="AL48" s="82"/>
      <c r="AM48" s="82"/>
      <c r="AN48" s="88"/>
    </row>
    <row r="49" spans="1:40" ht="13.5" hidden="1" customHeight="1" thickBot="1" x14ac:dyDescent="0.4">
      <c r="A49" s="89"/>
      <c r="B49" s="90"/>
      <c r="C49" s="91"/>
      <c r="D49" s="91"/>
      <c r="E49" s="90"/>
      <c r="F49" s="91"/>
      <c r="G49" s="91"/>
      <c r="H49" s="91"/>
      <c r="I49" s="91"/>
      <c r="J49" s="91"/>
      <c r="K49" s="91"/>
      <c r="L49" s="91"/>
      <c r="M49" s="91"/>
      <c r="N49" s="91"/>
      <c r="O49" s="92"/>
      <c r="P49" s="91"/>
      <c r="Q49" s="91"/>
      <c r="R49" s="92"/>
      <c r="S49" s="92"/>
      <c r="T49" s="91">
        <v>60</v>
      </c>
      <c r="U49" s="93"/>
      <c r="V49" s="92"/>
      <c r="W49" s="92"/>
      <c r="X49" s="92"/>
      <c r="Y49" s="93"/>
      <c r="Z49" s="94"/>
      <c r="AA49" s="94">
        <v>121341600</v>
      </c>
      <c r="AB49" s="91"/>
      <c r="AC49" s="91"/>
      <c r="AD49" s="91"/>
      <c r="AE49" s="91"/>
      <c r="AF49" s="91"/>
      <c r="AG49" s="91"/>
      <c r="AH49" s="91"/>
      <c r="AI49" s="91"/>
      <c r="AJ49" s="91"/>
      <c r="AK49" s="194"/>
      <c r="AL49" s="91"/>
      <c r="AM49" s="91"/>
      <c r="AN49" s="95"/>
    </row>
    <row r="50" spans="1:40" s="174" customFormat="1" ht="20.25" customHeight="1" x14ac:dyDescent="0.25">
      <c r="A50" s="175" t="s">
        <v>155</v>
      </c>
      <c r="B50" s="176" t="s">
        <v>33</v>
      </c>
      <c r="C50" s="176" t="s">
        <v>373</v>
      </c>
      <c r="D50" s="176"/>
      <c r="E50" s="177"/>
      <c r="F50" s="178"/>
      <c r="G50" s="178"/>
      <c r="H50" s="178"/>
      <c r="I50" s="178"/>
      <c r="J50" s="178"/>
      <c r="K50" s="178"/>
      <c r="L50" s="178"/>
      <c r="M50" s="178"/>
      <c r="N50" s="178"/>
      <c r="O50" s="178"/>
      <c r="P50" s="178"/>
      <c r="Q50" s="178"/>
      <c r="R50" s="178"/>
      <c r="S50" s="178"/>
      <c r="T50" s="178"/>
      <c r="U50" s="178"/>
      <c r="V50" s="178"/>
      <c r="W50" s="178"/>
      <c r="X50" s="178"/>
      <c r="Y50" s="178"/>
      <c r="Z50" s="178"/>
      <c r="AA50" s="178"/>
      <c r="AB50" s="178"/>
      <c r="AC50" s="178"/>
      <c r="AD50" s="178"/>
      <c r="AE50" s="178"/>
      <c r="AF50" s="178"/>
      <c r="AG50" s="178"/>
      <c r="AH50" s="178"/>
      <c r="AI50" s="178"/>
      <c r="AJ50" s="178"/>
      <c r="AK50" s="196"/>
      <c r="AL50" s="178"/>
      <c r="AM50" s="178"/>
      <c r="AN50" s="179"/>
    </row>
    <row r="51" spans="1:40" x14ac:dyDescent="0.35">
      <c r="A51" s="79">
        <v>1</v>
      </c>
      <c r="B51" s="80" t="s">
        <v>168</v>
      </c>
      <c r="C51" s="81">
        <v>25430</v>
      </c>
      <c r="D51" s="82" t="s">
        <v>169</v>
      </c>
      <c r="E51" s="80" t="s">
        <v>229</v>
      </c>
      <c r="F51" s="83">
        <v>3.63</v>
      </c>
      <c r="G51" s="81">
        <v>41426</v>
      </c>
      <c r="H51" s="82"/>
      <c r="I51" s="81"/>
      <c r="J51" s="82"/>
      <c r="K51" s="82"/>
      <c r="L51" s="112">
        <v>0.05</v>
      </c>
      <c r="M51" s="81">
        <v>42156</v>
      </c>
      <c r="N51" s="83"/>
      <c r="O51" s="81"/>
      <c r="P51" s="83" t="s">
        <v>295</v>
      </c>
      <c r="Q51" s="81" t="s">
        <v>296</v>
      </c>
      <c r="R51" s="81">
        <v>40513</v>
      </c>
      <c r="S51" s="81">
        <v>40663</v>
      </c>
      <c r="T51" s="82">
        <v>5</v>
      </c>
      <c r="U51" s="83">
        <v>3.27</v>
      </c>
      <c r="V51" s="82"/>
      <c r="W51" s="82"/>
      <c r="X51" s="82"/>
      <c r="Y51" s="83">
        <v>3.27</v>
      </c>
      <c r="Z51" s="84">
        <v>730000</v>
      </c>
      <c r="AA51" s="84">
        <v>11935500.000000002</v>
      </c>
      <c r="AB51" s="85">
        <v>4383225</v>
      </c>
      <c r="AC51" s="227">
        <v>3656082.5</v>
      </c>
      <c r="AD51" s="82" t="s">
        <v>170</v>
      </c>
      <c r="AE51" s="82"/>
      <c r="AF51" s="81">
        <v>42339</v>
      </c>
      <c r="AG51" s="82">
        <v>46</v>
      </c>
      <c r="AH51" s="82">
        <v>3</v>
      </c>
      <c r="AI51" s="82">
        <v>16</v>
      </c>
      <c r="AJ51" s="82" t="s">
        <v>263</v>
      </c>
      <c r="AK51" s="195">
        <v>158478954</v>
      </c>
      <c r="AL51" s="85">
        <v>13149675</v>
      </c>
      <c r="AM51" s="85">
        <v>145329279</v>
      </c>
      <c r="AN51" s="88" t="s">
        <v>147</v>
      </c>
    </row>
    <row r="52" spans="1:40" ht="12" hidden="1" customHeight="1" x14ac:dyDescent="0.35">
      <c r="A52" s="79"/>
      <c r="B52" s="80"/>
      <c r="C52" s="82"/>
      <c r="D52" s="82"/>
      <c r="E52" s="80"/>
      <c r="F52" s="82"/>
      <c r="G52" s="82"/>
      <c r="H52" s="82"/>
      <c r="I52" s="82"/>
      <c r="J52" s="82"/>
      <c r="K52" s="82"/>
      <c r="L52" s="82"/>
      <c r="M52" s="82"/>
      <c r="N52" s="82"/>
      <c r="O52" s="81"/>
      <c r="P52" s="82"/>
      <c r="Q52" s="81"/>
      <c r="R52" s="81">
        <v>40664</v>
      </c>
      <c r="S52" s="81">
        <v>40694</v>
      </c>
      <c r="T52" s="82">
        <v>1</v>
      </c>
      <c r="U52" s="83">
        <v>3.27</v>
      </c>
      <c r="V52" s="82"/>
      <c r="W52" s="82"/>
      <c r="X52" s="82"/>
      <c r="Y52" s="83">
        <v>3.27</v>
      </c>
      <c r="Z52" s="84">
        <v>830000</v>
      </c>
      <c r="AA52" s="84">
        <v>2714100</v>
      </c>
      <c r="AB52" s="82"/>
      <c r="AC52" s="82"/>
      <c r="AD52" s="82"/>
      <c r="AE52" s="82"/>
      <c r="AF52" s="82"/>
      <c r="AG52" s="82"/>
      <c r="AH52" s="82"/>
      <c r="AI52" s="82"/>
      <c r="AJ52" s="82"/>
      <c r="AK52" s="193"/>
      <c r="AL52" s="82"/>
      <c r="AM52" s="85"/>
      <c r="AN52" s="88"/>
    </row>
    <row r="53" spans="1:40" ht="12" hidden="1" customHeight="1" x14ac:dyDescent="0.35">
      <c r="A53" s="79"/>
      <c r="B53" s="80"/>
      <c r="C53" s="82"/>
      <c r="D53" s="82"/>
      <c r="E53" s="80"/>
      <c r="F53" s="82"/>
      <c r="G53" s="82"/>
      <c r="H53" s="82"/>
      <c r="I53" s="82"/>
      <c r="J53" s="82"/>
      <c r="K53" s="82"/>
      <c r="L53" s="82"/>
      <c r="M53" s="82"/>
      <c r="N53" s="82"/>
      <c r="O53" s="81"/>
      <c r="P53" s="82"/>
      <c r="Q53" s="82"/>
      <c r="R53" s="81">
        <v>40695</v>
      </c>
      <c r="S53" s="81">
        <v>41029</v>
      </c>
      <c r="T53" s="82">
        <v>11</v>
      </c>
      <c r="U53" s="83">
        <v>3.45</v>
      </c>
      <c r="V53" s="82"/>
      <c r="W53" s="82"/>
      <c r="X53" s="82"/>
      <c r="Y53" s="83">
        <v>3.45</v>
      </c>
      <c r="Z53" s="84">
        <v>830000</v>
      </c>
      <c r="AA53" s="84">
        <v>31498500.000000004</v>
      </c>
      <c r="AB53" s="85"/>
      <c r="AC53" s="85"/>
      <c r="AD53" s="82"/>
      <c r="AE53" s="82"/>
      <c r="AF53" s="82"/>
      <c r="AG53" s="82"/>
      <c r="AH53" s="82"/>
      <c r="AI53" s="82"/>
      <c r="AJ53" s="82"/>
      <c r="AK53" s="193"/>
      <c r="AL53" s="82"/>
      <c r="AM53" s="82"/>
      <c r="AN53" s="88"/>
    </row>
    <row r="54" spans="1:40" ht="12" hidden="1" customHeight="1" x14ac:dyDescent="0.35">
      <c r="A54" s="79"/>
      <c r="B54" s="80"/>
      <c r="C54" s="82"/>
      <c r="D54" s="82"/>
      <c r="E54" s="80"/>
      <c r="F54" s="82"/>
      <c r="G54" s="82"/>
      <c r="H54" s="82"/>
      <c r="I54" s="82"/>
      <c r="J54" s="82"/>
      <c r="K54" s="82"/>
      <c r="L54" s="82"/>
      <c r="M54" s="82"/>
      <c r="N54" s="82"/>
      <c r="O54" s="81"/>
      <c r="P54" s="82"/>
      <c r="Q54" s="82"/>
      <c r="R54" s="81">
        <v>41030</v>
      </c>
      <c r="S54" s="81">
        <v>41425</v>
      </c>
      <c r="T54" s="82">
        <v>13</v>
      </c>
      <c r="U54" s="83">
        <v>3.45</v>
      </c>
      <c r="V54" s="82"/>
      <c r="W54" s="82"/>
      <c r="X54" s="82"/>
      <c r="Y54" s="83">
        <v>3.45</v>
      </c>
      <c r="Z54" s="84">
        <v>1050000</v>
      </c>
      <c r="AA54" s="84">
        <v>47092500</v>
      </c>
      <c r="AB54" s="82"/>
      <c r="AC54" s="82"/>
      <c r="AD54" s="82"/>
      <c r="AE54" s="82"/>
      <c r="AF54" s="82"/>
      <c r="AG54" s="82"/>
      <c r="AH54" s="82"/>
      <c r="AI54" s="82"/>
      <c r="AJ54" s="82"/>
      <c r="AK54" s="193"/>
      <c r="AL54" s="82"/>
      <c r="AM54" s="82"/>
      <c r="AN54" s="88"/>
    </row>
    <row r="55" spans="1:40" ht="12" hidden="1" customHeight="1" x14ac:dyDescent="0.35">
      <c r="A55" s="79"/>
      <c r="B55" s="80"/>
      <c r="C55" s="82"/>
      <c r="D55" s="82"/>
      <c r="E55" s="80"/>
      <c r="F55" s="82"/>
      <c r="G55" s="82"/>
      <c r="H55" s="82"/>
      <c r="I55" s="82"/>
      <c r="J55" s="82"/>
      <c r="K55" s="82"/>
      <c r="L55" s="82"/>
      <c r="M55" s="82"/>
      <c r="N55" s="82"/>
      <c r="O55" s="81"/>
      <c r="P55" s="82"/>
      <c r="Q55" s="82"/>
      <c r="R55" s="81">
        <v>41426</v>
      </c>
      <c r="S55" s="81">
        <v>41455</v>
      </c>
      <c r="T55" s="82">
        <v>1</v>
      </c>
      <c r="U55" s="83">
        <v>3.63</v>
      </c>
      <c r="V55" s="82"/>
      <c r="W55" s="82"/>
      <c r="X55" s="82"/>
      <c r="Y55" s="83">
        <v>3.63</v>
      </c>
      <c r="Z55" s="84">
        <v>1050000</v>
      </c>
      <c r="AA55" s="84">
        <v>3811500</v>
      </c>
      <c r="AB55" s="82"/>
      <c r="AC55" s="82"/>
      <c r="AD55" s="82"/>
      <c r="AE55" s="82"/>
      <c r="AF55" s="82"/>
      <c r="AG55" s="82"/>
      <c r="AH55" s="82"/>
      <c r="AI55" s="82"/>
      <c r="AJ55" s="82"/>
      <c r="AK55" s="193"/>
      <c r="AL55" s="82"/>
      <c r="AM55" s="82"/>
      <c r="AN55" s="88"/>
    </row>
    <row r="56" spans="1:40" ht="12" hidden="1" customHeight="1" x14ac:dyDescent="0.35">
      <c r="A56" s="79"/>
      <c r="B56" s="80"/>
      <c r="C56" s="82"/>
      <c r="D56" s="82"/>
      <c r="E56" s="80"/>
      <c r="F56" s="82"/>
      <c r="G56" s="82"/>
      <c r="H56" s="82"/>
      <c r="I56" s="82"/>
      <c r="J56" s="82"/>
      <c r="K56" s="82"/>
      <c r="L56" s="82"/>
      <c r="M56" s="82"/>
      <c r="N56" s="82"/>
      <c r="O56" s="81"/>
      <c r="P56" s="82"/>
      <c r="Q56" s="82"/>
      <c r="R56" s="81">
        <v>41456</v>
      </c>
      <c r="S56" s="81">
        <v>42155</v>
      </c>
      <c r="T56" s="82">
        <v>23</v>
      </c>
      <c r="U56" s="83">
        <v>3.63</v>
      </c>
      <c r="V56" s="82"/>
      <c r="W56" s="82"/>
      <c r="X56" s="82"/>
      <c r="Y56" s="83">
        <v>3.63</v>
      </c>
      <c r="Z56" s="84">
        <v>1150000</v>
      </c>
      <c r="AA56" s="84">
        <v>96013500</v>
      </c>
      <c r="AB56" s="82"/>
      <c r="AC56" s="82"/>
      <c r="AD56" s="82"/>
      <c r="AE56" s="82"/>
      <c r="AF56" s="82"/>
      <c r="AG56" s="82"/>
      <c r="AH56" s="82"/>
      <c r="AI56" s="82"/>
      <c r="AJ56" s="82"/>
      <c r="AK56" s="193"/>
      <c r="AL56" s="82"/>
      <c r="AM56" s="82"/>
      <c r="AN56" s="88"/>
    </row>
    <row r="57" spans="1:40" ht="12" hidden="1" customHeight="1" x14ac:dyDescent="0.35">
      <c r="A57" s="79"/>
      <c r="B57" s="80"/>
      <c r="C57" s="82"/>
      <c r="D57" s="82"/>
      <c r="E57" s="80"/>
      <c r="F57" s="82"/>
      <c r="G57" s="82"/>
      <c r="H57" s="82"/>
      <c r="I57" s="82"/>
      <c r="J57" s="82"/>
      <c r="K57" s="82"/>
      <c r="L57" s="82"/>
      <c r="M57" s="82"/>
      <c r="N57" s="82"/>
      <c r="O57" s="81"/>
      <c r="P57" s="82"/>
      <c r="Q57" s="82"/>
      <c r="R57" s="81">
        <v>42156</v>
      </c>
      <c r="S57" s="81">
        <v>42338</v>
      </c>
      <c r="T57" s="82">
        <v>6</v>
      </c>
      <c r="U57" s="83">
        <v>3.63</v>
      </c>
      <c r="V57" s="82"/>
      <c r="W57" s="112">
        <v>0.05</v>
      </c>
      <c r="X57" s="82"/>
      <c r="Y57" s="83">
        <v>3.8114999999999997</v>
      </c>
      <c r="Z57" s="84">
        <v>1150000</v>
      </c>
      <c r="AA57" s="84">
        <v>26299350</v>
      </c>
      <c r="AB57" s="82"/>
      <c r="AC57" s="82"/>
      <c r="AD57" s="82"/>
      <c r="AE57" s="82"/>
      <c r="AF57" s="82"/>
      <c r="AG57" s="82"/>
      <c r="AH57" s="82"/>
      <c r="AI57" s="82"/>
      <c r="AJ57" s="82"/>
      <c r="AK57" s="193"/>
      <c r="AL57" s="82"/>
      <c r="AM57" s="82"/>
      <c r="AN57" s="88"/>
    </row>
    <row r="58" spans="1:40" ht="12" hidden="1" customHeight="1" x14ac:dyDescent="0.35">
      <c r="A58" s="89"/>
      <c r="B58" s="90"/>
      <c r="C58" s="91"/>
      <c r="D58" s="91"/>
      <c r="E58" s="90"/>
      <c r="F58" s="91"/>
      <c r="G58" s="91"/>
      <c r="H58" s="91"/>
      <c r="I58" s="91"/>
      <c r="J58" s="91"/>
      <c r="K58" s="91"/>
      <c r="L58" s="91"/>
      <c r="M58" s="91"/>
      <c r="N58" s="91"/>
      <c r="O58" s="92"/>
      <c r="P58" s="91"/>
      <c r="Q58" s="91"/>
      <c r="R58" s="92"/>
      <c r="S58" s="92"/>
      <c r="T58" s="91">
        <v>60</v>
      </c>
      <c r="U58" s="93"/>
      <c r="V58" s="91"/>
      <c r="W58" s="143"/>
      <c r="X58" s="91"/>
      <c r="Y58" s="93"/>
      <c r="Z58" s="94"/>
      <c r="AA58" s="94">
        <v>219364950</v>
      </c>
      <c r="AB58" s="91"/>
      <c r="AC58" s="91"/>
      <c r="AD58" s="91"/>
      <c r="AE58" s="91"/>
      <c r="AF58" s="91"/>
      <c r="AG58" s="91"/>
      <c r="AH58" s="91"/>
      <c r="AI58" s="91"/>
      <c r="AJ58" s="91"/>
      <c r="AK58" s="194"/>
      <c r="AL58" s="91"/>
      <c r="AM58" s="91"/>
      <c r="AN58" s="95"/>
    </row>
    <row r="59" spans="1:40" ht="49.5" customHeight="1" x14ac:dyDescent="0.35">
      <c r="A59" s="96">
        <v>2</v>
      </c>
      <c r="B59" s="97" t="s">
        <v>183</v>
      </c>
      <c r="C59" s="98">
        <v>27692</v>
      </c>
      <c r="D59" s="99" t="s">
        <v>145</v>
      </c>
      <c r="E59" s="97" t="s">
        <v>230</v>
      </c>
      <c r="F59" s="100">
        <v>4.32</v>
      </c>
      <c r="G59" s="98">
        <v>41395</v>
      </c>
      <c r="H59" s="99"/>
      <c r="I59" s="98"/>
      <c r="J59" s="141" t="s">
        <v>297</v>
      </c>
      <c r="K59" s="98" t="s">
        <v>282</v>
      </c>
      <c r="L59" s="141"/>
      <c r="M59" s="98"/>
      <c r="N59" s="100"/>
      <c r="O59" s="98"/>
      <c r="P59" s="100">
        <v>3.99</v>
      </c>
      <c r="Q59" s="98">
        <v>40299</v>
      </c>
      <c r="R59" s="98">
        <v>40238</v>
      </c>
      <c r="S59" s="98">
        <v>40298</v>
      </c>
      <c r="T59" s="140">
        <v>2</v>
      </c>
      <c r="U59" s="155">
        <v>3.66</v>
      </c>
      <c r="V59" s="140"/>
      <c r="W59" s="140"/>
      <c r="X59" s="140"/>
      <c r="Y59" s="155">
        <v>3.66</v>
      </c>
      <c r="Z59" s="162">
        <v>650000</v>
      </c>
      <c r="AA59" s="101">
        <v>4758000</v>
      </c>
      <c r="AB59" s="103">
        <v>5862240</v>
      </c>
      <c r="AC59" s="226">
        <v>4487608.5999999996</v>
      </c>
      <c r="AD59" s="99" t="s">
        <v>184</v>
      </c>
      <c r="AE59" s="99"/>
      <c r="AF59" s="98">
        <v>42248</v>
      </c>
      <c r="AG59" s="99">
        <v>39</v>
      </c>
      <c r="AH59" s="99">
        <v>10</v>
      </c>
      <c r="AI59" s="99">
        <v>7</v>
      </c>
      <c r="AJ59" s="99" t="s">
        <v>264</v>
      </c>
      <c r="AK59" s="192">
        <v>142117859</v>
      </c>
      <c r="AL59" s="103">
        <v>17586720</v>
      </c>
      <c r="AM59" s="103">
        <v>124531139</v>
      </c>
      <c r="AN59" s="104" t="s">
        <v>319</v>
      </c>
    </row>
    <row r="60" spans="1:40" hidden="1" x14ac:dyDescent="0.35">
      <c r="A60" s="79"/>
      <c r="B60" s="80"/>
      <c r="C60" s="81"/>
      <c r="D60" s="82"/>
      <c r="E60" s="80"/>
      <c r="F60" s="83"/>
      <c r="G60" s="81"/>
      <c r="H60" s="82"/>
      <c r="I60" s="81"/>
      <c r="J60" s="112"/>
      <c r="K60" s="81"/>
      <c r="L60" s="112"/>
      <c r="M60" s="81"/>
      <c r="N60" s="83"/>
      <c r="O60" s="81"/>
      <c r="P60" s="83"/>
      <c r="Q60" s="81"/>
      <c r="R60" s="81">
        <v>40299</v>
      </c>
      <c r="S60" s="81">
        <v>40663</v>
      </c>
      <c r="T60" s="82">
        <v>12</v>
      </c>
      <c r="U60" s="83">
        <v>3.99</v>
      </c>
      <c r="V60" s="82"/>
      <c r="W60" s="82"/>
      <c r="X60" s="82"/>
      <c r="Y60" s="83">
        <v>3.99</v>
      </c>
      <c r="Z60" s="84">
        <v>730000</v>
      </c>
      <c r="AA60" s="84">
        <v>34952400</v>
      </c>
      <c r="AB60" s="85"/>
      <c r="AC60" s="85"/>
      <c r="AD60" s="82"/>
      <c r="AE60" s="82"/>
      <c r="AF60" s="81"/>
      <c r="AG60" s="82"/>
      <c r="AH60" s="82"/>
      <c r="AI60" s="82"/>
      <c r="AJ60" s="82"/>
      <c r="AK60" s="195"/>
      <c r="AL60" s="85"/>
      <c r="AM60" s="85"/>
      <c r="AN60" s="129"/>
    </row>
    <row r="61" spans="1:40" hidden="1" x14ac:dyDescent="0.35">
      <c r="A61" s="79"/>
      <c r="B61" s="80"/>
      <c r="C61" s="82"/>
      <c r="D61" s="82"/>
      <c r="E61" s="80"/>
      <c r="F61" s="82"/>
      <c r="G61" s="82"/>
      <c r="H61" s="82"/>
      <c r="I61" s="82"/>
      <c r="J61" s="112"/>
      <c r="K61" s="81"/>
      <c r="L61" s="82"/>
      <c r="M61" s="82"/>
      <c r="N61" s="82"/>
      <c r="O61" s="81"/>
      <c r="P61" s="82"/>
      <c r="Q61" s="81"/>
      <c r="R61" s="81">
        <v>40664</v>
      </c>
      <c r="S61" s="81">
        <v>41029</v>
      </c>
      <c r="T61" s="82">
        <v>12</v>
      </c>
      <c r="U61" s="83">
        <v>3.99</v>
      </c>
      <c r="V61" s="82"/>
      <c r="W61" s="82"/>
      <c r="X61" s="112">
        <v>0.14000000000000001</v>
      </c>
      <c r="Y61" s="83">
        <v>4.5486000000000004</v>
      </c>
      <c r="Z61" s="84">
        <v>830000</v>
      </c>
      <c r="AA61" s="84">
        <v>45304056.000000007</v>
      </c>
      <c r="AB61" s="82"/>
      <c r="AC61" s="82"/>
      <c r="AD61" s="82"/>
      <c r="AE61" s="82"/>
      <c r="AF61" s="82"/>
      <c r="AG61" s="82"/>
      <c r="AH61" s="82"/>
      <c r="AI61" s="82"/>
      <c r="AJ61" s="82"/>
      <c r="AK61" s="193"/>
      <c r="AL61" s="82"/>
      <c r="AM61" s="85"/>
      <c r="AN61" s="129"/>
    </row>
    <row r="62" spans="1:40" hidden="1" x14ac:dyDescent="0.35">
      <c r="A62" s="79"/>
      <c r="B62" s="80"/>
      <c r="C62" s="82"/>
      <c r="D62" s="82"/>
      <c r="E62" s="80"/>
      <c r="F62" s="82"/>
      <c r="G62" s="82"/>
      <c r="H62" s="82"/>
      <c r="I62" s="82"/>
      <c r="J62" s="112"/>
      <c r="K62" s="81"/>
      <c r="L62" s="82"/>
      <c r="M62" s="82"/>
      <c r="N62" s="82"/>
      <c r="O62" s="81"/>
      <c r="P62" s="82"/>
      <c r="Q62" s="82"/>
      <c r="R62" s="81">
        <v>41030</v>
      </c>
      <c r="S62" s="81">
        <v>41394</v>
      </c>
      <c r="T62" s="82">
        <v>12</v>
      </c>
      <c r="U62" s="83">
        <v>3.99</v>
      </c>
      <c r="V62" s="82"/>
      <c r="W62" s="82"/>
      <c r="X62" s="112">
        <v>0.15</v>
      </c>
      <c r="Y62" s="83">
        <v>4.5884999999999998</v>
      </c>
      <c r="Z62" s="84">
        <v>1050000</v>
      </c>
      <c r="AA62" s="84">
        <v>57815100</v>
      </c>
      <c r="AB62" s="85"/>
      <c r="AC62" s="85"/>
      <c r="AD62" s="82"/>
      <c r="AE62" s="82"/>
      <c r="AF62" s="82"/>
      <c r="AG62" s="82"/>
      <c r="AH62" s="82"/>
      <c r="AI62" s="82"/>
      <c r="AJ62" s="82"/>
      <c r="AK62" s="193"/>
      <c r="AL62" s="82"/>
      <c r="AM62" s="82"/>
      <c r="AN62" s="129"/>
    </row>
    <row r="63" spans="1:40" hidden="1" x14ac:dyDescent="0.35">
      <c r="A63" s="79"/>
      <c r="B63" s="80"/>
      <c r="C63" s="82"/>
      <c r="D63" s="82"/>
      <c r="E63" s="80"/>
      <c r="F63" s="82"/>
      <c r="G63" s="82"/>
      <c r="H63" s="82"/>
      <c r="I63" s="82"/>
      <c r="J63" s="112"/>
      <c r="K63" s="81"/>
      <c r="L63" s="82"/>
      <c r="M63" s="82"/>
      <c r="N63" s="82"/>
      <c r="O63" s="81"/>
      <c r="P63" s="82"/>
      <c r="Q63" s="82"/>
      <c r="R63" s="81">
        <v>41395</v>
      </c>
      <c r="S63" s="81">
        <v>41455</v>
      </c>
      <c r="T63" s="82">
        <v>2</v>
      </c>
      <c r="U63" s="83">
        <v>4.32</v>
      </c>
      <c r="V63" s="82"/>
      <c r="W63" s="82"/>
      <c r="X63" s="112">
        <v>0.16</v>
      </c>
      <c r="Y63" s="83">
        <v>5.0112000000000005</v>
      </c>
      <c r="Z63" s="84">
        <v>1050000</v>
      </c>
      <c r="AA63" s="84">
        <v>10523520.000000002</v>
      </c>
      <c r="AB63" s="82"/>
      <c r="AC63" s="82"/>
      <c r="AD63" s="82"/>
      <c r="AE63" s="82"/>
      <c r="AF63" s="82"/>
      <c r="AG63" s="82"/>
      <c r="AH63" s="82"/>
      <c r="AI63" s="82"/>
      <c r="AJ63" s="82"/>
      <c r="AK63" s="193"/>
      <c r="AL63" s="82"/>
      <c r="AM63" s="82"/>
      <c r="AN63" s="129"/>
    </row>
    <row r="64" spans="1:40" hidden="1" x14ac:dyDescent="0.35">
      <c r="A64" s="79"/>
      <c r="B64" s="80"/>
      <c r="C64" s="82"/>
      <c r="D64" s="82"/>
      <c r="E64" s="80"/>
      <c r="F64" s="82"/>
      <c r="G64" s="82"/>
      <c r="H64" s="82"/>
      <c r="I64" s="82"/>
      <c r="J64" s="112"/>
      <c r="K64" s="81"/>
      <c r="L64" s="82"/>
      <c r="M64" s="82"/>
      <c r="N64" s="82"/>
      <c r="O64" s="81"/>
      <c r="P64" s="82"/>
      <c r="Q64" s="82"/>
      <c r="R64" s="81">
        <v>41456</v>
      </c>
      <c r="S64" s="81">
        <v>41759</v>
      </c>
      <c r="T64" s="82">
        <v>10</v>
      </c>
      <c r="U64" s="83">
        <v>4.32</v>
      </c>
      <c r="V64" s="82"/>
      <c r="W64" s="82"/>
      <c r="X64" s="112">
        <v>0.16</v>
      </c>
      <c r="Y64" s="83">
        <v>5.0112000000000005</v>
      </c>
      <c r="Z64" s="84">
        <v>1150000</v>
      </c>
      <c r="AA64" s="84">
        <v>57628800.000000007</v>
      </c>
      <c r="AB64" s="82"/>
      <c r="AC64" s="82"/>
      <c r="AD64" s="82"/>
      <c r="AE64" s="82"/>
      <c r="AF64" s="82"/>
      <c r="AG64" s="82"/>
      <c r="AH64" s="82"/>
      <c r="AI64" s="82"/>
      <c r="AJ64" s="82"/>
      <c r="AK64" s="193"/>
      <c r="AL64" s="82"/>
      <c r="AM64" s="82"/>
      <c r="AN64" s="129"/>
    </row>
    <row r="65" spans="1:40" hidden="1" x14ac:dyDescent="0.35">
      <c r="A65" s="79"/>
      <c r="B65" s="80"/>
      <c r="C65" s="82"/>
      <c r="D65" s="82"/>
      <c r="E65" s="80"/>
      <c r="F65" s="82"/>
      <c r="G65" s="82"/>
      <c r="H65" s="82"/>
      <c r="I65" s="82"/>
      <c r="J65" s="82"/>
      <c r="K65" s="82"/>
      <c r="L65" s="82"/>
      <c r="M65" s="82"/>
      <c r="N65" s="82"/>
      <c r="O65" s="81"/>
      <c r="P65" s="82"/>
      <c r="Q65" s="82"/>
      <c r="R65" s="81">
        <v>41760</v>
      </c>
      <c r="S65" s="81">
        <v>41912</v>
      </c>
      <c r="T65" s="82">
        <v>5</v>
      </c>
      <c r="U65" s="83">
        <v>4.32</v>
      </c>
      <c r="V65" s="82"/>
      <c r="W65" s="82"/>
      <c r="X65" s="112">
        <v>0.17</v>
      </c>
      <c r="Y65" s="83">
        <v>5.0544000000000002</v>
      </c>
      <c r="Z65" s="84">
        <v>1150000</v>
      </c>
      <c r="AA65" s="84">
        <v>29062800.000000004</v>
      </c>
      <c r="AB65" s="82"/>
      <c r="AC65" s="82"/>
      <c r="AD65" s="82"/>
      <c r="AE65" s="82"/>
      <c r="AF65" s="82"/>
      <c r="AG65" s="82"/>
      <c r="AH65" s="82"/>
      <c r="AI65" s="82"/>
      <c r="AJ65" s="82"/>
      <c r="AK65" s="193"/>
      <c r="AL65" s="82"/>
      <c r="AM65" s="82"/>
      <c r="AN65" s="129"/>
    </row>
    <row r="66" spans="1:40" hidden="1" x14ac:dyDescent="0.35">
      <c r="A66" s="79"/>
      <c r="B66" s="80"/>
      <c r="C66" s="82"/>
      <c r="D66" s="82"/>
      <c r="E66" s="80"/>
      <c r="F66" s="82"/>
      <c r="G66" s="82"/>
      <c r="H66" s="82"/>
      <c r="I66" s="82"/>
      <c r="J66" s="82"/>
      <c r="K66" s="82"/>
      <c r="L66" s="82"/>
      <c r="M66" s="82"/>
      <c r="N66" s="82"/>
      <c r="O66" s="81"/>
      <c r="P66" s="82"/>
      <c r="Q66" s="82"/>
      <c r="R66" s="81">
        <v>42005</v>
      </c>
      <c r="S66" s="81">
        <v>42035</v>
      </c>
      <c r="T66" s="82">
        <v>1</v>
      </c>
      <c r="U66" s="83">
        <v>4.32</v>
      </c>
      <c r="V66" s="82"/>
      <c r="W66" s="82"/>
      <c r="X66" s="112">
        <v>0.17</v>
      </c>
      <c r="Y66" s="83">
        <v>5.0544000000000002</v>
      </c>
      <c r="Z66" s="84">
        <v>1150000</v>
      </c>
      <c r="AA66" s="84">
        <v>5812560</v>
      </c>
      <c r="AB66" s="82"/>
      <c r="AC66" s="82"/>
      <c r="AD66" s="82"/>
      <c r="AE66" s="82"/>
      <c r="AF66" s="82"/>
      <c r="AG66" s="82"/>
      <c r="AH66" s="82"/>
      <c r="AI66" s="82"/>
      <c r="AJ66" s="82"/>
      <c r="AK66" s="193"/>
      <c r="AL66" s="82"/>
      <c r="AM66" s="82"/>
      <c r="AN66" s="129"/>
    </row>
    <row r="67" spans="1:40" hidden="1" x14ac:dyDescent="0.35">
      <c r="A67" s="79"/>
      <c r="B67" s="80"/>
      <c r="C67" s="82"/>
      <c r="D67" s="82"/>
      <c r="E67" s="80"/>
      <c r="F67" s="82"/>
      <c r="G67" s="82"/>
      <c r="H67" s="82"/>
      <c r="I67" s="82"/>
      <c r="J67" s="82"/>
      <c r="K67" s="82"/>
      <c r="L67" s="82"/>
      <c r="M67" s="82"/>
      <c r="N67" s="82"/>
      <c r="O67" s="81"/>
      <c r="P67" s="82"/>
      <c r="Q67" s="82"/>
      <c r="R67" s="81">
        <v>42064</v>
      </c>
      <c r="S67" s="81">
        <v>42094</v>
      </c>
      <c r="T67" s="82">
        <v>1</v>
      </c>
      <c r="U67" s="83">
        <v>4.32</v>
      </c>
      <c r="V67" s="82"/>
      <c r="W67" s="82"/>
      <c r="X67" s="112">
        <v>0.17</v>
      </c>
      <c r="Y67" s="83">
        <v>5.0544000000000002</v>
      </c>
      <c r="Z67" s="84">
        <v>1150000</v>
      </c>
      <c r="AA67" s="84">
        <v>5812560</v>
      </c>
      <c r="AB67" s="82"/>
      <c r="AC67" s="82"/>
      <c r="AD67" s="82"/>
      <c r="AE67" s="82"/>
      <c r="AF67" s="82"/>
      <c r="AG67" s="82"/>
      <c r="AH67" s="82"/>
      <c r="AI67" s="82"/>
      <c r="AJ67" s="82"/>
      <c r="AK67" s="193"/>
      <c r="AL67" s="82"/>
      <c r="AM67" s="82"/>
      <c r="AN67" s="129"/>
    </row>
    <row r="68" spans="1:40" hidden="1" x14ac:dyDescent="0.35">
      <c r="A68" s="79"/>
      <c r="B68" s="80"/>
      <c r="C68" s="82"/>
      <c r="D68" s="82"/>
      <c r="E68" s="80"/>
      <c r="F68" s="82"/>
      <c r="G68" s="82"/>
      <c r="H68" s="82"/>
      <c r="I68" s="82"/>
      <c r="J68" s="82"/>
      <c r="K68" s="82"/>
      <c r="L68" s="82"/>
      <c r="M68" s="82"/>
      <c r="N68" s="82"/>
      <c r="O68" s="81"/>
      <c r="P68" s="82"/>
      <c r="Q68" s="82"/>
      <c r="R68" s="81">
        <v>42156</v>
      </c>
      <c r="S68" s="81">
        <v>42247</v>
      </c>
      <c r="T68" s="82">
        <v>3</v>
      </c>
      <c r="U68" s="83">
        <v>4.32</v>
      </c>
      <c r="V68" s="82"/>
      <c r="W68" s="82"/>
      <c r="X68" s="112">
        <v>0.18</v>
      </c>
      <c r="Y68" s="83">
        <v>5.0975999999999999</v>
      </c>
      <c r="Z68" s="84">
        <v>1150000</v>
      </c>
      <c r="AA68" s="84">
        <v>17586720</v>
      </c>
      <c r="AB68" s="82"/>
      <c r="AC68" s="82"/>
      <c r="AD68" s="82"/>
      <c r="AE68" s="82"/>
      <c r="AF68" s="82"/>
      <c r="AG68" s="82"/>
      <c r="AH68" s="82"/>
      <c r="AI68" s="82"/>
      <c r="AJ68" s="82"/>
      <c r="AK68" s="193"/>
      <c r="AL68" s="82"/>
      <c r="AM68" s="82"/>
      <c r="AN68" s="129"/>
    </row>
    <row r="69" spans="1:40" ht="15" hidden="1" thickBot="1" x14ac:dyDescent="0.4">
      <c r="A69" s="105"/>
      <c r="B69" s="106"/>
      <c r="C69" s="107"/>
      <c r="D69" s="107"/>
      <c r="E69" s="106"/>
      <c r="F69" s="107"/>
      <c r="G69" s="107"/>
      <c r="H69" s="107"/>
      <c r="I69" s="107"/>
      <c r="J69" s="107"/>
      <c r="K69" s="107"/>
      <c r="L69" s="107"/>
      <c r="M69" s="107"/>
      <c r="N69" s="107"/>
      <c r="O69" s="108"/>
      <c r="P69" s="107"/>
      <c r="Q69" s="107"/>
      <c r="R69" s="108"/>
      <c r="S69" s="108"/>
      <c r="T69" s="82">
        <v>60</v>
      </c>
      <c r="U69" s="83"/>
      <c r="V69" s="81"/>
      <c r="W69" s="81"/>
      <c r="X69" s="81"/>
      <c r="Y69" s="83"/>
      <c r="Z69" s="84"/>
      <c r="AA69" s="110">
        <v>269256516</v>
      </c>
      <c r="AB69" s="107"/>
      <c r="AC69" s="107"/>
      <c r="AD69" s="107"/>
      <c r="AE69" s="107"/>
      <c r="AF69" s="107"/>
      <c r="AG69" s="107"/>
      <c r="AH69" s="107"/>
      <c r="AI69" s="107"/>
      <c r="AJ69" s="107"/>
      <c r="AK69" s="197"/>
      <c r="AL69" s="107"/>
      <c r="AM69" s="107"/>
      <c r="AN69" s="130"/>
    </row>
    <row r="70" spans="1:40" ht="19.5" customHeight="1" thickBot="1" x14ac:dyDescent="0.4">
      <c r="A70" s="131"/>
      <c r="B70" s="180" t="s">
        <v>38</v>
      </c>
      <c r="C70" s="216" t="s">
        <v>374</v>
      </c>
      <c r="D70" s="132"/>
      <c r="E70" s="135"/>
      <c r="F70" s="132"/>
      <c r="G70" s="132"/>
      <c r="H70" s="132"/>
      <c r="I70" s="132"/>
      <c r="J70" s="132"/>
      <c r="K70" s="132"/>
      <c r="L70" s="132"/>
      <c r="M70" s="132"/>
      <c r="N70" s="132"/>
      <c r="O70" s="126"/>
      <c r="P70" s="132"/>
      <c r="Q70" s="132"/>
      <c r="R70" s="126"/>
      <c r="S70" s="132"/>
      <c r="T70" s="107"/>
      <c r="U70" s="166"/>
      <c r="V70" s="167"/>
      <c r="W70" s="168"/>
      <c r="X70" s="107"/>
      <c r="Y70" s="109"/>
      <c r="Z70" s="110"/>
      <c r="AA70" s="133"/>
      <c r="AB70" s="132"/>
      <c r="AC70" s="132"/>
      <c r="AD70" s="132"/>
      <c r="AE70" s="132"/>
      <c r="AF70" s="132"/>
      <c r="AG70" s="132"/>
      <c r="AH70" s="132"/>
      <c r="AI70" s="132"/>
      <c r="AJ70" s="132"/>
      <c r="AK70" s="198">
        <v>1011771103</v>
      </c>
      <c r="AL70" s="203">
        <v>97045395</v>
      </c>
      <c r="AM70" s="203">
        <v>914725708</v>
      </c>
      <c r="AN70" s="134"/>
    </row>
    <row r="71" spans="1:40" ht="15" hidden="1" customHeight="1" x14ac:dyDescent="0.35">
      <c r="A71" s="7"/>
    </row>
    <row r="72" spans="1:40" ht="16.5" hidden="1" customHeight="1" x14ac:dyDescent="0.35">
      <c r="A72" s="8"/>
      <c r="B72" s="9"/>
      <c r="AF72" s="671" t="s">
        <v>133</v>
      </c>
      <c r="AG72" s="671"/>
      <c r="AH72" s="671"/>
      <c r="AI72" s="671"/>
      <c r="AJ72" s="671"/>
      <c r="AK72" s="671"/>
      <c r="AL72" s="671"/>
      <c r="AM72" s="671"/>
      <c r="AN72" s="671"/>
    </row>
    <row r="73" spans="1:40" ht="18.75" hidden="1" customHeight="1" x14ac:dyDescent="0.35">
      <c r="A73" s="59" t="s">
        <v>39</v>
      </c>
      <c r="B73" s="10"/>
      <c r="AF73" s="672" t="s">
        <v>131</v>
      </c>
      <c r="AG73" s="672"/>
      <c r="AH73" s="672"/>
      <c r="AI73" s="672"/>
      <c r="AJ73" s="672"/>
      <c r="AK73" s="672"/>
      <c r="AL73" s="672"/>
      <c r="AM73" s="672"/>
      <c r="AN73" s="672"/>
    </row>
    <row r="74" spans="1:40" ht="15" hidden="1" customHeight="1" x14ac:dyDescent="0.35">
      <c r="A74" s="60" t="s">
        <v>40</v>
      </c>
      <c r="B74" s="11"/>
    </row>
    <row r="75" spans="1:40" ht="15" hidden="1" customHeight="1" x14ac:dyDescent="0.35">
      <c r="A75" s="60" t="s">
        <v>41</v>
      </c>
      <c r="B75" s="12"/>
    </row>
    <row r="76" spans="1:40" ht="15" hidden="1" customHeight="1" x14ac:dyDescent="0.35">
      <c r="A76" s="60"/>
      <c r="B76" s="12"/>
    </row>
    <row r="77" spans="1:40" ht="15" hidden="1" customHeight="1" x14ac:dyDescent="0.35">
      <c r="A77" s="13"/>
    </row>
    <row r="78" spans="1:40" ht="15" hidden="1" customHeight="1" x14ac:dyDescent="0.35">
      <c r="A78" s="7"/>
    </row>
    <row r="79" spans="1:40" ht="18.75" hidden="1" customHeight="1" x14ac:dyDescent="0.45">
      <c r="A79" s="13"/>
      <c r="AF79" s="673" t="s">
        <v>132</v>
      </c>
      <c r="AG79" s="673"/>
      <c r="AH79" s="673"/>
      <c r="AI79" s="673"/>
      <c r="AJ79" s="673"/>
      <c r="AK79" s="673"/>
      <c r="AL79" s="673"/>
      <c r="AM79" s="673"/>
      <c r="AN79" s="673"/>
    </row>
    <row r="80" spans="1:40" hidden="1" x14ac:dyDescent="0.35">
      <c r="A80" s="13" t="s">
        <v>42</v>
      </c>
    </row>
    <row r="81" spans="1:10" hidden="1" x14ac:dyDescent="0.35">
      <c r="A81" s="7" t="s">
        <v>43</v>
      </c>
      <c r="B81" s="18"/>
    </row>
    <row r="82" spans="1:10" hidden="1" x14ac:dyDescent="0.35">
      <c r="A82" s="7" t="s">
        <v>60</v>
      </c>
      <c r="B82" s="18"/>
      <c r="J82" s="7" t="s">
        <v>59</v>
      </c>
    </row>
    <row r="83" spans="1:10" hidden="1" x14ac:dyDescent="0.35">
      <c r="A83" s="7" t="s">
        <v>54</v>
      </c>
      <c r="B83" s="18"/>
      <c r="J83" s="7" t="s">
        <v>61</v>
      </c>
    </row>
    <row r="84" spans="1:10" hidden="1" x14ac:dyDescent="0.35">
      <c r="A84" s="7" t="s">
        <v>55</v>
      </c>
      <c r="B84" s="18"/>
      <c r="G84" s="18"/>
      <c r="J84" s="7" t="s">
        <v>62</v>
      </c>
    </row>
  </sheetData>
  <mergeCells count="32">
    <mergeCell ref="P7:Q7"/>
    <mergeCell ref="R7:AA7"/>
    <mergeCell ref="AB7:AB8"/>
    <mergeCell ref="AF73:AN73"/>
    <mergeCell ref="AF79:AN79"/>
    <mergeCell ref="AF7:AF8"/>
    <mergeCell ref="AG7:AI7"/>
    <mergeCell ref="AJ7:AJ8"/>
    <mergeCell ref="AK7:AM7"/>
    <mergeCell ref="AN7:AN8"/>
    <mergeCell ref="AF72:AN72"/>
    <mergeCell ref="A5:AN5"/>
    <mergeCell ref="AK3:AN3"/>
    <mergeCell ref="A3:D3"/>
    <mergeCell ref="A6:AN6"/>
    <mergeCell ref="A7:A8"/>
    <mergeCell ref="B7:B8"/>
    <mergeCell ref="C7:C8"/>
    <mergeCell ref="D7:D8"/>
    <mergeCell ref="E7:E8"/>
    <mergeCell ref="F7:G7"/>
    <mergeCell ref="H7:I7"/>
    <mergeCell ref="J7:K7"/>
    <mergeCell ref="L7:M7"/>
    <mergeCell ref="AC7:AC8"/>
    <mergeCell ref="AD7:AE7"/>
    <mergeCell ref="N7:O7"/>
    <mergeCell ref="A1:D1"/>
    <mergeCell ref="AK1:AN1"/>
    <mergeCell ref="A2:D2"/>
    <mergeCell ref="AK2:AN2"/>
    <mergeCell ref="A4:AN4"/>
  </mergeCells>
  <phoneticPr fontId="22" type="noConversion"/>
  <pageMargins left="0.16" right="0.16" top="0.22" bottom="0.16" header="0.22" footer="0.16"/>
  <pageSetup paperSize="9" scale="73"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36"/>
  <sheetViews>
    <sheetView topLeftCell="B21" zoomScaleNormal="100" workbookViewId="0">
      <selection activeCell="F21" sqref="F21"/>
    </sheetView>
  </sheetViews>
  <sheetFormatPr defaultRowHeight="14.5" x14ac:dyDescent="0.35"/>
  <cols>
    <col min="1" max="1" width="6.1796875" hidden="1" customWidth="1"/>
    <col min="2" max="2" width="3.26953125" customWidth="1"/>
    <col min="3" max="3" width="20.7265625" customWidth="1"/>
    <col min="4" max="4" width="10.453125" style="583" customWidth="1"/>
    <col min="5" max="5" width="9.1796875" hidden="1" customWidth="1"/>
    <col min="6" max="6" width="5.81640625" customWidth="1"/>
    <col min="7" max="7" width="20.453125" customWidth="1"/>
    <col min="8" max="8" width="9.1796875" customWidth="1"/>
    <col min="9" max="9" width="10.81640625" customWidth="1"/>
    <col min="10" max="10" width="4.26953125" customWidth="1"/>
    <col min="11" max="11" width="11.453125" customWidth="1"/>
    <col min="12" max="12" width="6.1796875" customWidth="1"/>
    <col min="13" max="13" width="9.7265625" customWidth="1"/>
    <col min="14" max="14" width="4.26953125" customWidth="1"/>
    <col min="15" max="15" width="11.26953125" customWidth="1"/>
    <col min="16" max="16" width="3.7265625" customWidth="1"/>
    <col min="17" max="17" width="9.1796875" customWidth="1"/>
    <col min="18" max="18" width="7.26953125" customWidth="1"/>
    <col min="19" max="19" width="10" customWidth="1"/>
    <col min="20" max="20" width="11.7265625" style="363" customWidth="1"/>
    <col min="21" max="21" width="12.26953125" style="364" customWidth="1"/>
    <col min="22" max="22" width="6.7265625" customWidth="1"/>
    <col min="23" max="23" width="10" customWidth="1"/>
    <col min="24" max="24" width="10.26953125" style="20" customWidth="1"/>
    <col min="25" max="25" width="6.54296875" customWidth="1"/>
    <col min="26" max="26" width="3.7265625" customWidth="1"/>
    <col min="27" max="27" width="6.7265625" customWidth="1"/>
    <col min="28" max="28" width="3.81640625" customWidth="1"/>
    <col min="29" max="29" width="4" customWidth="1"/>
    <col min="30" max="30" width="13.7265625" style="77" customWidth="1"/>
    <col min="31" max="31" width="11.54296875" customWidth="1"/>
    <col min="32" max="32" width="13.7265625" style="365" customWidth="1"/>
    <col min="33" max="33" width="27.54296875" customWidth="1"/>
    <col min="35" max="37" width="15.54296875" hidden="1" customWidth="1"/>
    <col min="38" max="38" width="12.54296875" bestFit="1" customWidth="1"/>
  </cols>
  <sheetData>
    <row r="1" spans="1:256" s="218" customFormat="1" ht="15.5" x14ac:dyDescent="0.35">
      <c r="B1" s="693"/>
      <c r="C1" s="693"/>
      <c r="D1" s="693"/>
      <c r="E1" s="693"/>
      <c r="F1" s="693"/>
      <c r="G1" s="217"/>
      <c r="H1" s="217"/>
      <c r="I1" s="217"/>
      <c r="J1" s="217"/>
      <c r="K1" s="217"/>
      <c r="L1" s="217"/>
      <c r="M1" s="217"/>
      <c r="N1" s="217"/>
      <c r="O1" s="217"/>
      <c r="P1" s="217"/>
      <c r="Q1" s="217"/>
      <c r="R1" s="217"/>
      <c r="S1" s="217"/>
      <c r="T1" s="292"/>
      <c r="U1" s="293"/>
      <c r="V1" s="217"/>
      <c r="W1" s="217"/>
      <c r="X1" s="294"/>
      <c r="Y1" s="694" t="s">
        <v>327</v>
      </c>
      <c r="Z1" s="694"/>
      <c r="AA1" s="694"/>
      <c r="AB1" s="694"/>
      <c r="AC1" s="694"/>
      <c r="AD1" s="694"/>
      <c r="AE1" s="694"/>
      <c r="AF1" s="694"/>
      <c r="AG1" s="694"/>
      <c r="AH1" s="217"/>
      <c r="AI1" s="217"/>
      <c r="AJ1" s="217"/>
      <c r="AK1" s="217"/>
      <c r="AL1" s="217"/>
      <c r="AM1" s="217"/>
      <c r="AN1" s="217"/>
      <c r="AO1" s="217"/>
      <c r="AP1" s="217"/>
      <c r="AQ1" s="217"/>
      <c r="AR1" s="217"/>
    </row>
    <row r="2" spans="1:256" s="295" customFormat="1" ht="18.5" hidden="1" x14ac:dyDescent="0.45">
      <c r="B2" s="695" t="s">
        <v>232</v>
      </c>
      <c r="C2" s="695"/>
      <c r="D2" s="695"/>
      <c r="E2" s="695"/>
      <c r="F2" s="695"/>
      <c r="G2" s="296"/>
      <c r="H2" s="296"/>
      <c r="I2" s="296"/>
      <c r="J2" s="296"/>
      <c r="K2" s="296"/>
      <c r="L2" s="296"/>
      <c r="M2" s="296"/>
      <c r="N2" s="296"/>
      <c r="O2" s="296"/>
      <c r="P2" s="296"/>
      <c r="Q2" s="459"/>
      <c r="R2" s="459"/>
      <c r="S2" s="459"/>
      <c r="T2" s="459"/>
      <c r="U2" s="459"/>
      <c r="V2" s="459"/>
      <c r="W2" s="459"/>
      <c r="X2" s="696" t="s">
        <v>383</v>
      </c>
      <c r="Y2" s="696"/>
      <c r="Z2" s="696"/>
      <c r="AA2" s="696"/>
      <c r="AB2" s="696"/>
      <c r="AC2" s="696"/>
      <c r="AD2" s="696"/>
      <c r="AE2" s="696"/>
      <c r="AF2" s="696"/>
      <c r="AG2" s="696"/>
      <c r="AH2" s="296"/>
      <c r="AI2" s="296"/>
      <c r="AJ2" s="296"/>
      <c r="AK2" s="296"/>
      <c r="AL2" s="296"/>
      <c r="AM2" s="296"/>
      <c r="AN2" s="296"/>
      <c r="AO2" s="296"/>
      <c r="AP2" s="296"/>
      <c r="AQ2" s="296"/>
      <c r="AR2" s="296"/>
    </row>
    <row r="3" spans="1:256" s="295" customFormat="1" ht="18.5" hidden="1" x14ac:dyDescent="0.45">
      <c r="B3" s="697" t="s">
        <v>233</v>
      </c>
      <c r="C3" s="697"/>
      <c r="D3" s="697"/>
      <c r="E3" s="697"/>
      <c r="F3" s="697"/>
      <c r="G3" s="296"/>
      <c r="H3" s="296"/>
      <c r="I3" s="296"/>
      <c r="J3" s="296"/>
      <c r="K3" s="296"/>
      <c r="L3" s="296"/>
      <c r="M3" s="296"/>
      <c r="N3" s="296"/>
      <c r="O3" s="296"/>
      <c r="P3" s="296"/>
      <c r="Q3" s="460"/>
      <c r="R3" s="460"/>
      <c r="S3" s="460"/>
      <c r="T3" s="460"/>
      <c r="U3" s="460"/>
      <c r="V3" s="460"/>
      <c r="W3" s="460"/>
      <c r="X3" s="697" t="s">
        <v>384</v>
      </c>
      <c r="Y3" s="697"/>
      <c r="Z3" s="697"/>
      <c r="AA3" s="697"/>
      <c r="AB3" s="697"/>
      <c r="AC3" s="697"/>
      <c r="AD3" s="697"/>
      <c r="AE3" s="697"/>
      <c r="AF3" s="697"/>
      <c r="AG3" s="697"/>
      <c r="AH3" s="296"/>
      <c r="AI3" s="296"/>
      <c r="AJ3" s="296"/>
      <c r="AK3" s="296"/>
      <c r="AL3" s="296"/>
      <c r="AM3" s="296"/>
      <c r="AN3" s="296"/>
      <c r="AO3" s="296"/>
      <c r="AP3" s="296"/>
      <c r="AQ3" s="296"/>
      <c r="AR3" s="296"/>
    </row>
    <row r="4" spans="1:256" s="295" customFormat="1" ht="18.5" x14ac:dyDescent="0.45">
      <c r="B4" s="696" t="s">
        <v>503</v>
      </c>
      <c r="C4" s="696"/>
      <c r="D4" s="696"/>
      <c r="E4" s="696"/>
      <c r="F4" s="696"/>
      <c r="G4" s="296"/>
      <c r="H4" s="296"/>
      <c r="I4" s="296"/>
      <c r="J4" s="296"/>
      <c r="K4" s="296"/>
      <c r="L4" s="296"/>
      <c r="M4" s="296"/>
      <c r="N4" s="296"/>
      <c r="O4" s="296"/>
      <c r="P4" s="296"/>
      <c r="Q4" s="459"/>
      <c r="R4" s="459"/>
      <c r="S4" s="459"/>
      <c r="T4" s="459"/>
      <c r="U4" s="459"/>
      <c r="V4" s="459"/>
      <c r="W4" s="696" t="s">
        <v>383</v>
      </c>
      <c r="X4" s="696"/>
      <c r="Y4" s="696"/>
      <c r="Z4" s="696"/>
      <c r="AA4" s="696"/>
      <c r="AB4" s="696"/>
      <c r="AC4" s="696"/>
      <c r="AD4" s="696"/>
      <c r="AE4" s="696"/>
      <c r="AF4" s="696"/>
      <c r="AG4" s="696"/>
      <c r="AH4" s="296"/>
      <c r="AI4" s="296"/>
      <c r="AJ4" s="296"/>
      <c r="AK4" s="296"/>
      <c r="AL4" s="296"/>
      <c r="AM4" s="296"/>
      <c r="AN4" s="296"/>
      <c r="AO4" s="296"/>
      <c r="AP4" s="296"/>
      <c r="AQ4" s="296"/>
      <c r="AR4" s="296"/>
    </row>
    <row r="5" spans="1:256" s="295" customFormat="1" ht="18.5" x14ac:dyDescent="0.45">
      <c r="B5" s="697" t="s">
        <v>135</v>
      </c>
      <c r="C5" s="697"/>
      <c r="D5" s="697"/>
      <c r="E5" s="697"/>
      <c r="F5" s="697"/>
      <c r="G5" s="296"/>
      <c r="H5" s="296"/>
      <c r="I5" s="296"/>
      <c r="J5" s="296"/>
      <c r="K5" s="296"/>
      <c r="L5" s="296"/>
      <c r="M5" s="296"/>
      <c r="N5" s="296"/>
      <c r="O5" s="296"/>
      <c r="P5" s="296"/>
      <c r="Q5" s="460"/>
      <c r="R5" s="460"/>
      <c r="S5" s="460"/>
      <c r="T5" s="460"/>
      <c r="U5" s="460"/>
      <c r="V5" s="460"/>
      <c r="W5" s="697" t="s">
        <v>384</v>
      </c>
      <c r="X5" s="697"/>
      <c r="Y5" s="697"/>
      <c r="Z5" s="697"/>
      <c r="AA5" s="697"/>
      <c r="AB5" s="697"/>
      <c r="AC5" s="697"/>
      <c r="AD5" s="697"/>
      <c r="AE5" s="697"/>
      <c r="AF5" s="697"/>
      <c r="AG5" s="697"/>
      <c r="AH5" s="296"/>
      <c r="AI5" s="296"/>
      <c r="AJ5" s="296"/>
      <c r="AK5" s="296"/>
      <c r="AL5" s="296"/>
      <c r="AM5" s="296"/>
      <c r="AN5" s="296"/>
      <c r="AO5" s="296"/>
      <c r="AP5" s="296"/>
      <c r="AQ5" s="296"/>
      <c r="AR5" s="296"/>
    </row>
    <row r="6" spans="1:256" s="295" customFormat="1" ht="15.75" customHeight="1" x14ac:dyDescent="0.45">
      <c r="B6" s="297"/>
      <c r="C6" s="297"/>
      <c r="D6" s="578"/>
      <c r="E6" s="297"/>
      <c r="F6" s="297"/>
      <c r="G6" s="296"/>
      <c r="H6" s="296"/>
      <c r="I6" s="296"/>
      <c r="J6" s="296"/>
      <c r="K6" s="296"/>
      <c r="L6" s="296"/>
      <c r="M6" s="296"/>
      <c r="N6" s="296"/>
      <c r="O6" s="296"/>
      <c r="P6" s="296"/>
      <c r="Q6" s="296"/>
      <c r="R6" s="296"/>
      <c r="S6" s="296"/>
      <c r="T6" s="298"/>
      <c r="U6" s="299"/>
      <c r="V6" s="296"/>
      <c r="W6" s="296"/>
      <c r="X6" s="300"/>
      <c r="Y6" s="297"/>
      <c r="Z6" s="297"/>
      <c r="AA6" s="297"/>
      <c r="AB6" s="297"/>
      <c r="AC6" s="297"/>
      <c r="AD6" s="297"/>
      <c r="AE6" s="297"/>
      <c r="AF6" s="297"/>
      <c r="AG6" s="297"/>
      <c r="AH6" s="296"/>
      <c r="AI6" s="296"/>
      <c r="AJ6" s="296"/>
      <c r="AK6" s="296"/>
      <c r="AL6" s="296"/>
      <c r="AM6" s="296"/>
      <c r="AN6" s="296"/>
      <c r="AO6" s="296"/>
      <c r="AP6" s="296"/>
      <c r="AQ6" s="296"/>
      <c r="AR6" s="296"/>
    </row>
    <row r="7" spans="1:256" s="301" customFormat="1" ht="21" customHeight="1" x14ac:dyDescent="0.35">
      <c r="B7" s="696" t="s">
        <v>736</v>
      </c>
      <c r="C7" s="696"/>
      <c r="D7" s="696"/>
      <c r="E7" s="696"/>
      <c r="F7" s="696"/>
      <c r="G7" s="696"/>
      <c r="H7" s="696"/>
      <c r="I7" s="696"/>
      <c r="J7" s="696"/>
      <c r="K7" s="696"/>
      <c r="L7" s="696"/>
      <c r="M7" s="696"/>
      <c r="N7" s="696"/>
      <c r="O7" s="696"/>
      <c r="P7" s="696"/>
      <c r="Q7" s="696"/>
      <c r="R7" s="696"/>
      <c r="S7" s="696"/>
      <c r="T7" s="696"/>
      <c r="U7" s="696"/>
      <c r="V7" s="696"/>
      <c r="W7" s="696"/>
      <c r="X7" s="696"/>
      <c r="Y7" s="696"/>
      <c r="Z7" s="696"/>
      <c r="AA7" s="696"/>
      <c r="AB7" s="696"/>
      <c r="AC7" s="696"/>
      <c r="AD7" s="696"/>
      <c r="AE7" s="696"/>
      <c r="AF7" s="696"/>
      <c r="AG7" s="696"/>
    </row>
    <row r="8" spans="1:256" s="302" customFormat="1" ht="16.5" customHeight="1" x14ac:dyDescent="0.4">
      <c r="B8" s="689" t="s">
        <v>718</v>
      </c>
      <c r="C8" s="689"/>
      <c r="D8" s="689"/>
      <c r="E8" s="689"/>
      <c r="F8" s="689"/>
      <c r="G8" s="689"/>
      <c r="H8" s="689"/>
      <c r="I8" s="689"/>
      <c r="J8" s="689"/>
      <c r="K8" s="689"/>
      <c r="L8" s="689"/>
      <c r="M8" s="689"/>
      <c r="N8" s="689"/>
      <c r="O8" s="689"/>
      <c r="P8" s="689"/>
      <c r="Q8" s="689"/>
      <c r="R8" s="689"/>
      <c r="S8" s="689"/>
      <c r="T8" s="689"/>
      <c r="U8" s="689"/>
      <c r="V8" s="689"/>
      <c r="W8" s="689"/>
      <c r="X8" s="689"/>
      <c r="Y8" s="689"/>
      <c r="Z8" s="689"/>
      <c r="AA8" s="689"/>
      <c r="AB8" s="689"/>
      <c r="AC8" s="689"/>
      <c r="AD8" s="689"/>
      <c r="AE8" s="689"/>
      <c r="AF8" s="689"/>
      <c r="AG8" s="689"/>
    </row>
    <row r="9" spans="1:256" s="402" customFormat="1" ht="17" hidden="1" x14ac:dyDescent="0.4">
      <c r="B9" s="756" t="s">
        <v>505</v>
      </c>
      <c r="C9" s="756"/>
      <c r="D9" s="756"/>
      <c r="E9" s="756"/>
      <c r="F9" s="756"/>
      <c r="G9" s="756"/>
      <c r="H9" s="756"/>
      <c r="I9" s="756"/>
      <c r="J9" s="756"/>
      <c r="K9" s="756"/>
      <c r="L9" s="756"/>
      <c r="M9" s="756"/>
      <c r="N9" s="756"/>
      <c r="O9" s="756"/>
      <c r="P9" s="756"/>
      <c r="Q9" s="756"/>
      <c r="R9" s="756"/>
      <c r="S9" s="756"/>
      <c r="T9" s="756"/>
      <c r="U9" s="756"/>
      <c r="V9" s="756"/>
      <c r="W9" s="756"/>
      <c r="X9" s="756"/>
      <c r="Y9" s="756"/>
      <c r="Z9" s="756"/>
      <c r="AA9" s="756"/>
      <c r="AB9" s="756"/>
      <c r="AC9" s="756"/>
      <c r="AD9" s="756"/>
      <c r="AE9" s="756"/>
      <c r="AF9" s="756"/>
      <c r="AG9" s="756"/>
    </row>
    <row r="10" spans="1:256" s="402" customFormat="1" ht="17" hidden="1" x14ac:dyDescent="0.4">
      <c r="B10" s="757" t="s">
        <v>688</v>
      </c>
      <c r="C10" s="756"/>
      <c r="D10" s="756"/>
      <c r="E10" s="756"/>
      <c r="F10" s="756"/>
      <c r="G10" s="756"/>
      <c r="H10" s="756"/>
      <c r="I10" s="756"/>
      <c r="J10" s="756"/>
      <c r="K10" s="756"/>
      <c r="L10" s="756"/>
      <c r="M10" s="756"/>
      <c r="N10" s="756"/>
      <c r="O10" s="756"/>
      <c r="P10" s="756"/>
      <c r="Q10" s="756"/>
      <c r="R10" s="756"/>
      <c r="S10" s="756"/>
      <c r="T10" s="756"/>
      <c r="U10" s="756"/>
      <c r="V10" s="756"/>
      <c r="W10" s="756"/>
      <c r="X10" s="756"/>
      <c r="Y10" s="756"/>
      <c r="Z10" s="756"/>
      <c r="AA10" s="756"/>
      <c r="AB10" s="756"/>
      <c r="AC10" s="756"/>
      <c r="AD10" s="756"/>
      <c r="AE10" s="756"/>
      <c r="AF10" s="756"/>
      <c r="AG10" s="756"/>
    </row>
    <row r="11" spans="1:256" s="402" customFormat="1" ht="17" hidden="1" x14ac:dyDescent="0.4">
      <c r="A11" s="756" t="s">
        <v>737</v>
      </c>
      <c r="B11" s="756"/>
      <c r="C11" s="756"/>
      <c r="D11" s="756"/>
      <c r="E11" s="756"/>
      <c r="F11" s="756"/>
      <c r="G11" s="756"/>
      <c r="H11" s="756"/>
      <c r="I11" s="756"/>
      <c r="J11" s="756"/>
      <c r="K11" s="756"/>
      <c r="L11" s="756"/>
      <c r="M11" s="756"/>
      <c r="N11" s="756"/>
      <c r="O11" s="756"/>
      <c r="P11" s="756"/>
      <c r="Q11" s="756"/>
      <c r="R11" s="756"/>
      <c r="S11" s="756"/>
      <c r="T11" s="756"/>
      <c r="U11" s="756"/>
      <c r="V11" s="756"/>
      <c r="W11" s="756"/>
      <c r="X11" s="756"/>
      <c r="Y11" s="756"/>
      <c r="Z11" s="756"/>
      <c r="AA11" s="756"/>
      <c r="AB11" s="756"/>
      <c r="AC11" s="756"/>
      <c r="AD11" s="756"/>
      <c r="AE11" s="756"/>
      <c r="AF11" s="756"/>
      <c r="AG11" s="756" t="s">
        <v>655</v>
      </c>
      <c r="AH11" s="756"/>
      <c r="AI11" s="756"/>
      <c r="AJ11" s="756"/>
      <c r="AK11" s="756"/>
      <c r="AL11" s="756"/>
      <c r="AM11" s="756"/>
      <c r="AN11" s="756"/>
      <c r="AO11" s="756"/>
      <c r="AP11" s="756"/>
      <c r="AQ11" s="756"/>
      <c r="AR11" s="756"/>
      <c r="AS11" s="756"/>
      <c r="AT11" s="756"/>
      <c r="AU11" s="756"/>
      <c r="AV11" s="756"/>
      <c r="AW11" s="756"/>
      <c r="AX11" s="756"/>
      <c r="AY11" s="756"/>
      <c r="AZ11" s="756"/>
      <c r="BA11" s="756"/>
      <c r="BB11" s="756"/>
      <c r="BC11" s="756"/>
      <c r="BD11" s="756"/>
      <c r="BE11" s="756"/>
      <c r="BF11" s="756"/>
      <c r="BG11" s="756"/>
      <c r="BH11" s="756"/>
      <c r="BI11" s="756"/>
      <c r="BJ11" s="756"/>
      <c r="BK11" s="756"/>
      <c r="BL11" s="756"/>
      <c r="BM11" s="756" t="s">
        <v>655</v>
      </c>
      <c r="BN11" s="756"/>
      <c r="BO11" s="756"/>
      <c r="BP11" s="756"/>
      <c r="BQ11" s="756"/>
      <c r="BR11" s="756"/>
      <c r="BS11" s="756"/>
      <c r="BT11" s="756"/>
      <c r="BU11" s="756"/>
      <c r="BV11" s="756"/>
      <c r="BW11" s="756"/>
      <c r="BX11" s="756"/>
      <c r="BY11" s="756"/>
      <c r="BZ11" s="756"/>
      <c r="CA11" s="756"/>
      <c r="CB11" s="756"/>
      <c r="CC11" s="756"/>
      <c r="CD11" s="756"/>
      <c r="CE11" s="756"/>
      <c r="CF11" s="756"/>
      <c r="CG11" s="756"/>
      <c r="CH11" s="756"/>
      <c r="CI11" s="756"/>
      <c r="CJ11" s="756"/>
      <c r="CK11" s="756"/>
      <c r="CL11" s="756"/>
      <c r="CM11" s="756"/>
      <c r="CN11" s="756"/>
      <c r="CO11" s="756"/>
      <c r="CP11" s="756"/>
      <c r="CQ11" s="756"/>
      <c r="CR11" s="756"/>
      <c r="CS11" s="756" t="s">
        <v>655</v>
      </c>
      <c r="CT11" s="756"/>
      <c r="CU11" s="756"/>
      <c r="CV11" s="756"/>
      <c r="CW11" s="756"/>
      <c r="CX11" s="756"/>
      <c r="CY11" s="756"/>
      <c r="CZ11" s="756"/>
      <c r="DA11" s="756"/>
      <c r="DB11" s="756"/>
      <c r="DC11" s="756"/>
      <c r="DD11" s="756"/>
      <c r="DE11" s="756"/>
      <c r="DF11" s="756"/>
      <c r="DG11" s="756"/>
      <c r="DH11" s="756"/>
      <c r="DI11" s="756"/>
      <c r="DJ11" s="756"/>
      <c r="DK11" s="756"/>
      <c r="DL11" s="756"/>
      <c r="DM11" s="756"/>
      <c r="DN11" s="756"/>
      <c r="DO11" s="756"/>
      <c r="DP11" s="756"/>
      <c r="DQ11" s="756"/>
      <c r="DR11" s="756"/>
      <c r="DS11" s="756"/>
      <c r="DT11" s="756"/>
      <c r="DU11" s="756"/>
      <c r="DV11" s="756"/>
      <c r="DW11" s="756"/>
      <c r="DX11" s="756"/>
      <c r="DY11" s="756" t="s">
        <v>655</v>
      </c>
      <c r="DZ11" s="756"/>
      <c r="EA11" s="756"/>
      <c r="EB11" s="756"/>
      <c r="EC11" s="756"/>
      <c r="ED11" s="756"/>
      <c r="EE11" s="756"/>
      <c r="EF11" s="756"/>
      <c r="EG11" s="756"/>
      <c r="EH11" s="756"/>
      <c r="EI11" s="756"/>
      <c r="EJ11" s="756"/>
      <c r="EK11" s="756"/>
      <c r="EL11" s="756"/>
      <c r="EM11" s="756"/>
      <c r="EN11" s="756"/>
      <c r="EO11" s="756"/>
      <c r="EP11" s="756"/>
      <c r="EQ11" s="756"/>
      <c r="ER11" s="756"/>
      <c r="ES11" s="756"/>
      <c r="ET11" s="756"/>
      <c r="EU11" s="756"/>
      <c r="EV11" s="756"/>
      <c r="EW11" s="756"/>
      <c r="EX11" s="756"/>
      <c r="EY11" s="756"/>
      <c r="EZ11" s="756"/>
      <c r="FA11" s="756"/>
      <c r="FB11" s="756"/>
      <c r="FC11" s="756"/>
      <c r="FD11" s="756"/>
      <c r="FE11" s="756" t="s">
        <v>655</v>
      </c>
      <c r="FF11" s="756"/>
      <c r="FG11" s="756"/>
      <c r="FH11" s="756"/>
      <c r="FI11" s="756"/>
      <c r="FJ11" s="756"/>
      <c r="FK11" s="756"/>
      <c r="FL11" s="756"/>
      <c r="FM11" s="756"/>
      <c r="FN11" s="756"/>
      <c r="FO11" s="756"/>
      <c r="FP11" s="756"/>
      <c r="FQ11" s="756"/>
      <c r="FR11" s="756"/>
      <c r="FS11" s="756"/>
      <c r="FT11" s="756"/>
      <c r="FU11" s="756"/>
      <c r="FV11" s="756"/>
      <c r="FW11" s="756"/>
      <c r="FX11" s="756"/>
      <c r="FY11" s="756"/>
      <c r="FZ11" s="756"/>
      <c r="GA11" s="756"/>
      <c r="GB11" s="756"/>
      <c r="GC11" s="756"/>
      <c r="GD11" s="756"/>
      <c r="GE11" s="756"/>
      <c r="GF11" s="756"/>
      <c r="GG11" s="756"/>
      <c r="GH11" s="756"/>
      <c r="GI11" s="756"/>
      <c r="GJ11" s="756"/>
      <c r="GK11" s="756" t="s">
        <v>655</v>
      </c>
      <c r="GL11" s="756"/>
      <c r="GM11" s="756"/>
      <c r="GN11" s="756"/>
      <c r="GO11" s="756"/>
      <c r="GP11" s="756"/>
      <c r="GQ11" s="756"/>
      <c r="GR11" s="756"/>
      <c r="GS11" s="756"/>
      <c r="GT11" s="756"/>
      <c r="GU11" s="756"/>
      <c r="GV11" s="756"/>
      <c r="GW11" s="756"/>
      <c r="GX11" s="756"/>
      <c r="GY11" s="756"/>
      <c r="GZ11" s="756"/>
      <c r="HA11" s="756"/>
      <c r="HB11" s="756"/>
      <c r="HC11" s="756"/>
      <c r="HD11" s="756"/>
      <c r="HE11" s="756"/>
      <c r="HF11" s="756"/>
      <c r="HG11" s="756"/>
      <c r="HH11" s="756"/>
      <c r="HI11" s="756"/>
      <c r="HJ11" s="756"/>
      <c r="HK11" s="756"/>
      <c r="HL11" s="756"/>
      <c r="HM11" s="756"/>
      <c r="HN11" s="756"/>
      <c r="HO11" s="756"/>
      <c r="HP11" s="756"/>
      <c r="HQ11" s="756" t="s">
        <v>655</v>
      </c>
      <c r="HR11" s="756"/>
      <c r="HS11" s="756"/>
      <c r="HT11" s="756"/>
      <c r="HU11" s="756"/>
      <c r="HV11" s="756"/>
      <c r="HW11" s="756"/>
      <c r="HX11" s="756"/>
      <c r="HY11" s="756"/>
      <c r="HZ11" s="756"/>
      <c r="IA11" s="756"/>
      <c r="IB11" s="756"/>
      <c r="IC11" s="756"/>
      <c r="ID11" s="756"/>
      <c r="IE11" s="756"/>
      <c r="IF11" s="756"/>
      <c r="IG11" s="756"/>
      <c r="IH11" s="756"/>
      <c r="II11" s="756"/>
      <c r="IJ11" s="756"/>
      <c r="IK11" s="756"/>
      <c r="IL11" s="756"/>
      <c r="IM11" s="756"/>
      <c r="IN11" s="756"/>
      <c r="IO11" s="756"/>
      <c r="IP11" s="756"/>
      <c r="IQ11" s="756"/>
      <c r="IR11" s="756"/>
      <c r="IS11" s="756"/>
      <c r="IT11" s="756"/>
      <c r="IU11" s="756"/>
      <c r="IV11" s="756"/>
    </row>
    <row r="12" spans="1:256" s="402" customFormat="1" ht="17" x14ac:dyDescent="0.4">
      <c r="B12" s="756" t="s">
        <v>720</v>
      </c>
      <c r="C12" s="756"/>
      <c r="D12" s="756"/>
      <c r="E12" s="756"/>
      <c r="F12" s="756"/>
      <c r="G12" s="756"/>
      <c r="H12" s="756"/>
      <c r="I12" s="756"/>
      <c r="J12" s="756"/>
      <c r="K12" s="756"/>
      <c r="L12" s="756"/>
      <c r="M12" s="756"/>
      <c r="N12" s="756"/>
      <c r="O12" s="756"/>
      <c r="P12" s="756"/>
      <c r="Q12" s="756"/>
      <c r="R12" s="756"/>
      <c r="S12" s="756"/>
      <c r="T12" s="756"/>
      <c r="U12" s="756"/>
      <c r="V12" s="756"/>
      <c r="W12" s="756"/>
      <c r="X12" s="756"/>
      <c r="Y12" s="756"/>
      <c r="Z12" s="756"/>
      <c r="AA12" s="756"/>
      <c r="AB12" s="756"/>
      <c r="AC12" s="756"/>
      <c r="AD12" s="756"/>
      <c r="AE12" s="756"/>
      <c r="AF12" s="756"/>
      <c r="AG12" s="756"/>
    </row>
    <row r="13" spans="1:256" s="302" customFormat="1" ht="17.5" thickBot="1" x14ac:dyDescent="0.45">
      <c r="B13" s="689"/>
      <c r="C13" s="689"/>
      <c r="D13" s="689"/>
      <c r="E13" s="689"/>
      <c r="F13" s="689"/>
      <c r="G13" s="689"/>
      <c r="H13" s="689"/>
      <c r="I13" s="689"/>
      <c r="J13" s="689"/>
      <c r="K13" s="689"/>
      <c r="L13" s="689"/>
      <c r="M13" s="689"/>
      <c r="N13" s="689"/>
      <c r="O13" s="689"/>
      <c r="P13" s="689"/>
      <c r="Q13" s="689"/>
      <c r="R13" s="689"/>
      <c r="S13" s="689"/>
      <c r="T13" s="689"/>
      <c r="U13" s="689"/>
      <c r="V13" s="689"/>
      <c r="W13" s="689"/>
      <c r="X13" s="689"/>
      <c r="Y13" s="689"/>
      <c r="Z13" s="689"/>
      <c r="AA13" s="689"/>
      <c r="AB13" s="689"/>
      <c r="AC13" s="689"/>
      <c r="AD13" s="689"/>
      <c r="AE13" s="689"/>
      <c r="AF13" s="689"/>
      <c r="AG13" s="689"/>
    </row>
    <row r="14" spans="1:256" s="219" customFormat="1" ht="45" customHeight="1" x14ac:dyDescent="0.3">
      <c r="B14" s="758" t="s">
        <v>3</v>
      </c>
      <c r="C14" s="686" t="s">
        <v>4</v>
      </c>
      <c r="D14" s="686" t="s">
        <v>5</v>
      </c>
      <c r="E14" s="375"/>
      <c r="F14" s="686" t="s">
        <v>6</v>
      </c>
      <c r="G14" s="686" t="s">
        <v>7</v>
      </c>
      <c r="H14" s="686" t="s">
        <v>8</v>
      </c>
      <c r="I14" s="686"/>
      <c r="J14" s="686" t="s">
        <v>9</v>
      </c>
      <c r="K14" s="686"/>
      <c r="L14" s="686" t="s">
        <v>10</v>
      </c>
      <c r="M14" s="686"/>
      <c r="N14" s="686" t="s">
        <v>11</v>
      </c>
      <c r="O14" s="686"/>
      <c r="P14" s="686" t="s">
        <v>12</v>
      </c>
      <c r="Q14" s="686"/>
      <c r="R14" s="686" t="s">
        <v>13</v>
      </c>
      <c r="S14" s="686"/>
      <c r="T14" s="678" t="s">
        <v>98</v>
      </c>
      <c r="U14" s="680" t="s">
        <v>242</v>
      </c>
      <c r="V14" s="682" t="s">
        <v>14</v>
      </c>
      <c r="W14" s="683"/>
      <c r="X14" s="684" t="s">
        <v>15</v>
      </c>
      <c r="Y14" s="686" t="s">
        <v>16</v>
      </c>
      <c r="Z14" s="755" t="s">
        <v>76</v>
      </c>
      <c r="AA14" s="755"/>
      <c r="AB14" s="755"/>
      <c r="AC14" s="755"/>
      <c r="AD14" s="677" t="s">
        <v>506</v>
      </c>
      <c r="AE14" s="682" t="s">
        <v>651</v>
      </c>
      <c r="AF14" s="683"/>
      <c r="AG14" s="753" t="s">
        <v>17</v>
      </c>
    </row>
    <row r="15" spans="1:256" s="219" customFormat="1" ht="127.5" customHeight="1" x14ac:dyDescent="0.3">
      <c r="B15" s="759"/>
      <c r="C15" s="687"/>
      <c r="D15" s="687"/>
      <c r="E15" s="223"/>
      <c r="F15" s="687"/>
      <c r="G15" s="687"/>
      <c r="H15" s="223" t="s">
        <v>18</v>
      </c>
      <c r="I15" s="223" t="s">
        <v>19</v>
      </c>
      <c r="J15" s="223" t="s">
        <v>20</v>
      </c>
      <c r="K15" s="223" t="s">
        <v>19</v>
      </c>
      <c r="L15" s="223" t="s">
        <v>21</v>
      </c>
      <c r="M15" s="223" t="s">
        <v>19</v>
      </c>
      <c r="N15" s="223" t="s">
        <v>21</v>
      </c>
      <c r="O15" s="223" t="s">
        <v>19</v>
      </c>
      <c r="P15" s="223" t="s">
        <v>20</v>
      </c>
      <c r="Q15" s="223" t="s">
        <v>19</v>
      </c>
      <c r="R15" s="223" t="s">
        <v>20</v>
      </c>
      <c r="S15" s="223" t="s">
        <v>19</v>
      </c>
      <c r="T15" s="679"/>
      <c r="U15" s="681"/>
      <c r="V15" s="223" t="s">
        <v>22</v>
      </c>
      <c r="W15" s="223" t="s">
        <v>23</v>
      </c>
      <c r="X15" s="685"/>
      <c r="Y15" s="687"/>
      <c r="Z15" s="154" t="s">
        <v>78</v>
      </c>
      <c r="AA15" s="154" t="s">
        <v>79</v>
      </c>
      <c r="AB15" s="154" t="s">
        <v>80</v>
      </c>
      <c r="AC15" s="154" t="s">
        <v>81</v>
      </c>
      <c r="AD15" s="692"/>
      <c r="AE15" s="223" t="s">
        <v>652</v>
      </c>
      <c r="AF15" s="376" t="s">
        <v>653</v>
      </c>
      <c r="AG15" s="754"/>
      <c r="AI15" s="457">
        <f>AI18+AJ18</f>
        <v>317259219</v>
      </c>
    </row>
    <row r="16" spans="1:256" s="303" customFormat="1" ht="11.5" x14ac:dyDescent="0.25">
      <c r="B16" s="259"/>
      <c r="C16" s="224" t="s">
        <v>28</v>
      </c>
      <c r="D16" s="224">
        <v>1</v>
      </c>
      <c r="E16" s="224"/>
      <c r="F16" s="224">
        <v>2</v>
      </c>
      <c r="G16" s="224">
        <v>3</v>
      </c>
      <c r="H16" s="224">
        <v>4</v>
      </c>
      <c r="I16" s="224">
        <v>5</v>
      </c>
      <c r="J16" s="224">
        <v>6</v>
      </c>
      <c r="K16" s="224">
        <v>7</v>
      </c>
      <c r="L16" s="224">
        <v>8</v>
      </c>
      <c r="M16" s="224">
        <v>9</v>
      </c>
      <c r="N16" s="224">
        <v>10</v>
      </c>
      <c r="O16" s="224">
        <v>11</v>
      </c>
      <c r="P16" s="224">
        <v>12</v>
      </c>
      <c r="Q16" s="224">
        <v>13</v>
      </c>
      <c r="R16" s="224">
        <v>14</v>
      </c>
      <c r="S16" s="224">
        <v>15</v>
      </c>
      <c r="T16" s="304">
        <v>16</v>
      </c>
      <c r="U16" s="305">
        <v>17</v>
      </c>
      <c r="V16" s="224">
        <v>18</v>
      </c>
      <c r="W16" s="224">
        <v>19</v>
      </c>
      <c r="X16" s="224">
        <v>20</v>
      </c>
      <c r="Y16" s="224">
        <v>21</v>
      </c>
      <c r="Z16" s="224">
        <v>22</v>
      </c>
      <c r="AA16" s="224">
        <v>23</v>
      </c>
      <c r="AB16" s="224">
        <v>24</v>
      </c>
      <c r="AC16" s="224">
        <v>25</v>
      </c>
      <c r="AD16" s="224">
        <v>26</v>
      </c>
      <c r="AE16" s="224">
        <v>27</v>
      </c>
      <c r="AF16" s="224">
        <v>28</v>
      </c>
      <c r="AG16" s="260">
        <v>29</v>
      </c>
      <c r="AJ16" s="377">
        <f>AJ18+AK18</f>
        <v>0</v>
      </c>
    </row>
    <row r="17" spans="1:39" s="303" customFormat="1" ht="24.75" customHeight="1" x14ac:dyDescent="0.25">
      <c r="B17" s="563"/>
      <c r="C17" s="564" t="s">
        <v>38</v>
      </c>
      <c r="D17" s="579" t="str">
        <f>COUNTA(G20:G27)&amp;" HỒ SƠ"</f>
        <v>6 HỒ SƠ</v>
      </c>
      <c r="E17" s="565"/>
      <c r="F17" s="565"/>
      <c r="G17" s="566"/>
      <c r="H17" s="566"/>
      <c r="I17" s="566"/>
      <c r="J17" s="566"/>
      <c r="K17" s="566"/>
      <c r="L17" s="566"/>
      <c r="M17" s="566"/>
      <c r="N17" s="566"/>
      <c r="O17" s="566"/>
      <c r="P17" s="566"/>
      <c r="Q17" s="566"/>
      <c r="R17" s="566"/>
      <c r="S17" s="566"/>
      <c r="T17" s="567"/>
      <c r="U17" s="568"/>
      <c r="V17" s="566"/>
      <c r="W17" s="566"/>
      <c r="X17" s="569"/>
      <c r="Y17" s="566"/>
      <c r="Z17" s="570">
        <f>Z18+Z25</f>
        <v>6</v>
      </c>
      <c r="AA17" s="570"/>
      <c r="AB17" s="570"/>
      <c r="AC17" s="570"/>
      <c r="AD17" s="571">
        <f>AF17</f>
        <v>1156179955</v>
      </c>
      <c r="AE17" s="571"/>
      <c r="AF17" s="571">
        <f>AF18+AF25</f>
        <v>1156179955</v>
      </c>
      <c r="AG17" s="572"/>
      <c r="AI17" s="458">
        <f>SUMIF(Z18:Z20,"x",$AD$19:$AD$21)</f>
        <v>199664943</v>
      </c>
      <c r="AJ17" s="458">
        <f>SUMIF(AB18:AB20,"x",$AD$19:$AD$21)</f>
        <v>0</v>
      </c>
      <c r="AK17" s="325">
        <f>SUMIF($AK$19:$AK$21,"1",$AD$19:$AD$21)</f>
        <v>0</v>
      </c>
    </row>
    <row r="18" spans="1:39" s="303" customFormat="1" ht="24.75" customHeight="1" x14ac:dyDescent="0.25">
      <c r="B18" s="563" t="s">
        <v>28</v>
      </c>
      <c r="C18" s="564" t="s">
        <v>361</v>
      </c>
      <c r="D18" s="579" t="str">
        <f>COUNTA(G19:G24)&amp;" HỒ SƠ"</f>
        <v>4 HỒ SƠ</v>
      </c>
      <c r="E18" s="565"/>
      <c r="F18" s="565"/>
      <c r="G18" s="566"/>
      <c r="H18" s="566"/>
      <c r="I18" s="566"/>
      <c r="J18" s="566"/>
      <c r="K18" s="566"/>
      <c r="L18" s="566"/>
      <c r="M18" s="566"/>
      <c r="N18" s="566"/>
      <c r="O18" s="566"/>
      <c r="P18" s="566"/>
      <c r="Q18" s="566"/>
      <c r="R18" s="566"/>
      <c r="S18" s="566"/>
      <c r="T18" s="567"/>
      <c r="U18" s="568"/>
      <c r="V18" s="566"/>
      <c r="W18" s="566"/>
      <c r="X18" s="569"/>
      <c r="Y18" s="566"/>
      <c r="Z18" s="570">
        <f>Z19+Z22</f>
        <v>4</v>
      </c>
      <c r="AA18" s="570"/>
      <c r="AB18" s="570"/>
      <c r="AC18" s="570"/>
      <c r="AD18" s="571">
        <f>AF18</f>
        <v>543721881</v>
      </c>
      <c r="AE18" s="571"/>
      <c r="AF18" s="571">
        <f>AF19+AF22</f>
        <v>543721881</v>
      </c>
      <c r="AG18" s="572"/>
      <c r="AI18" s="458">
        <f>SUMIF(Z19:Z21,"x",$AD$19:$AD$21)</f>
        <v>317259219</v>
      </c>
      <c r="AJ18" s="458">
        <f>SUMIF(AB19:AB21,"x",$AD$19:$AD$21)</f>
        <v>0</v>
      </c>
      <c r="AK18" s="325">
        <f>SUMIF($AK$19:$AK$21,"1",$AD$19:$AD$21)</f>
        <v>0</v>
      </c>
    </row>
    <row r="19" spans="1:39" s="549" customFormat="1" ht="25.5" customHeight="1" x14ac:dyDescent="0.25">
      <c r="B19" s="539" t="s">
        <v>141</v>
      </c>
      <c r="C19" s="540" t="s">
        <v>33</v>
      </c>
      <c r="D19" s="580" t="str">
        <f>COUNTA(B20:B21)&amp;" HỒ SƠ"</f>
        <v>2 HỒ SƠ</v>
      </c>
      <c r="E19" s="541"/>
      <c r="F19" s="541"/>
      <c r="G19" s="542"/>
      <c r="H19" s="542"/>
      <c r="I19" s="542"/>
      <c r="J19" s="542"/>
      <c r="K19" s="542"/>
      <c r="L19" s="542"/>
      <c r="M19" s="542"/>
      <c r="N19" s="542"/>
      <c r="O19" s="542"/>
      <c r="P19" s="542"/>
      <c r="Q19" s="542"/>
      <c r="R19" s="542"/>
      <c r="S19" s="542"/>
      <c r="T19" s="543"/>
      <c r="U19" s="544"/>
      <c r="V19" s="542"/>
      <c r="W19" s="542"/>
      <c r="X19" s="545"/>
      <c r="Y19" s="546"/>
      <c r="Z19" s="546">
        <f>COUNTA(Z20:Z21)</f>
        <v>2</v>
      </c>
      <c r="AA19" s="546"/>
      <c r="AB19" s="546"/>
      <c r="AC19" s="546"/>
      <c r="AD19" s="547">
        <f>SUM(AE19:AF19)</f>
        <v>317259219</v>
      </c>
      <c r="AE19" s="547"/>
      <c r="AF19" s="547">
        <f>SUM(AF20:AF21)</f>
        <v>317259219</v>
      </c>
      <c r="AG19" s="548"/>
      <c r="AI19" s="550">
        <f>SUMIF(Z20:Z21,"x",$AD$20:$AD$21)</f>
        <v>317259219</v>
      </c>
      <c r="AJ19" s="549" t="s">
        <v>654</v>
      </c>
      <c r="AK19" s="551">
        <f>SUM(AE21:AE21)</f>
        <v>0</v>
      </c>
      <c r="AL19" s="551">
        <f>SUM(AF21:AF21)</f>
        <v>199664943</v>
      </c>
      <c r="AM19" s="551">
        <f>SUM(AG21:AG21)</f>
        <v>0</v>
      </c>
    </row>
    <row r="20" spans="1:39" s="303" customFormat="1" ht="117.75" customHeight="1" x14ac:dyDescent="0.25">
      <c r="A20" s="326" t="s">
        <v>471</v>
      </c>
      <c r="B20" s="378">
        <v>1</v>
      </c>
      <c r="C20" s="379" t="s">
        <v>690</v>
      </c>
      <c r="D20" s="581">
        <v>26149</v>
      </c>
      <c r="E20" s="380">
        <v>26177</v>
      </c>
      <c r="F20" s="381"/>
      <c r="G20" s="382" t="s">
        <v>691</v>
      </c>
      <c r="H20" s="383">
        <v>4.2699999999999996</v>
      </c>
      <c r="I20" s="380">
        <v>43101</v>
      </c>
      <c r="J20" s="381"/>
      <c r="K20" s="380"/>
      <c r="L20" s="384" t="s">
        <v>354</v>
      </c>
      <c r="M20" s="380" t="s">
        <v>738</v>
      </c>
      <c r="N20" s="384"/>
      <c r="O20" s="380"/>
      <c r="P20" s="381"/>
      <c r="Q20" s="381"/>
      <c r="R20" s="383" t="s">
        <v>666</v>
      </c>
      <c r="S20" s="380" t="s">
        <v>692</v>
      </c>
      <c r="T20" s="385"/>
      <c r="U20" s="386">
        <v>5736306.1833333336</v>
      </c>
      <c r="V20" s="387" t="s">
        <v>694</v>
      </c>
      <c r="W20" s="387"/>
      <c r="X20" s="388">
        <v>44986</v>
      </c>
      <c r="Y20" s="387" t="s">
        <v>734</v>
      </c>
      <c r="Z20" s="390" t="s">
        <v>158</v>
      </c>
      <c r="AA20" s="389"/>
      <c r="AB20" s="390"/>
      <c r="AC20" s="390"/>
      <c r="AD20" s="391">
        <f t="shared" ref="AD20:AD21" si="0">SUM(AE20:AF20)</f>
        <v>117594276</v>
      </c>
      <c r="AE20" s="390"/>
      <c r="AF20" s="392">
        <v>117594276</v>
      </c>
      <c r="AG20" s="393" t="s">
        <v>722</v>
      </c>
      <c r="AI20" s="303">
        <v>1</v>
      </c>
    </row>
    <row r="21" spans="1:39" s="303" customFormat="1" ht="120" customHeight="1" x14ac:dyDescent="0.25">
      <c r="A21" s="326" t="s">
        <v>471</v>
      </c>
      <c r="B21" s="378">
        <v>2</v>
      </c>
      <c r="C21" s="379" t="s">
        <v>710</v>
      </c>
      <c r="D21" s="581">
        <v>25898</v>
      </c>
      <c r="E21" s="380">
        <v>25903</v>
      </c>
      <c r="F21" s="381"/>
      <c r="G21" s="382" t="s">
        <v>711</v>
      </c>
      <c r="H21" s="383" t="s">
        <v>702</v>
      </c>
      <c r="I21" s="380">
        <v>44652</v>
      </c>
      <c r="J21" s="381"/>
      <c r="K21" s="380"/>
      <c r="L21" s="384" t="s">
        <v>435</v>
      </c>
      <c r="M21" s="380" t="s">
        <v>668</v>
      </c>
      <c r="N21" s="384" t="s">
        <v>393</v>
      </c>
      <c r="O21" s="380" t="s">
        <v>713</v>
      </c>
      <c r="P21" s="381"/>
      <c r="Q21" s="381"/>
      <c r="R21" s="383">
        <v>4.9800000000000004</v>
      </c>
      <c r="S21" s="380">
        <v>42826</v>
      </c>
      <c r="T21" s="385"/>
      <c r="U21" s="386">
        <v>9286741.5159999989</v>
      </c>
      <c r="V21" s="387" t="s">
        <v>721</v>
      </c>
      <c r="W21" s="387"/>
      <c r="X21" s="388">
        <v>44986</v>
      </c>
      <c r="Y21" s="387" t="s">
        <v>552</v>
      </c>
      <c r="Z21" s="390" t="s">
        <v>158</v>
      </c>
      <c r="AA21" s="389"/>
      <c r="AB21" s="390"/>
      <c r="AC21" s="390"/>
      <c r="AD21" s="391">
        <f t="shared" si="0"/>
        <v>199664943</v>
      </c>
      <c r="AE21" s="390"/>
      <c r="AF21" s="392">
        <v>199664943</v>
      </c>
      <c r="AG21" s="393" t="s">
        <v>761</v>
      </c>
      <c r="AI21" s="303">
        <v>1</v>
      </c>
    </row>
    <row r="22" spans="1:39" s="553" customFormat="1" ht="30" customHeight="1" x14ac:dyDescent="0.25">
      <c r="A22" s="552"/>
      <c r="B22" s="554" t="s">
        <v>155</v>
      </c>
      <c r="C22" s="555" t="s">
        <v>649</v>
      </c>
      <c r="D22" s="582" t="str">
        <f>COUNTA(D23:D24)&amp;" HỒ SƠ"</f>
        <v>2 HỒ SƠ</v>
      </c>
      <c r="E22" s="556"/>
      <c r="F22" s="556"/>
      <c r="G22" s="557"/>
      <c r="H22" s="558"/>
      <c r="I22" s="558"/>
      <c r="J22" s="558"/>
      <c r="K22" s="558"/>
      <c r="L22" s="558"/>
      <c r="M22" s="558"/>
      <c r="N22" s="558"/>
      <c r="O22" s="558"/>
      <c r="P22" s="558"/>
      <c r="Q22" s="558"/>
      <c r="R22" s="558"/>
      <c r="S22" s="558"/>
      <c r="T22" s="558"/>
      <c r="U22" s="558"/>
      <c r="V22" s="558"/>
      <c r="W22" s="558"/>
      <c r="X22" s="558"/>
      <c r="Y22" s="558"/>
      <c r="Z22" s="559">
        <f>COUNTA(Z23:Z24)</f>
        <v>2</v>
      </c>
      <c r="AA22" s="560"/>
      <c r="AB22" s="560"/>
      <c r="AC22" s="560"/>
      <c r="AD22" s="275">
        <f>AF22</f>
        <v>226462662</v>
      </c>
      <c r="AE22" s="561">
        <f t="shared" ref="AE22" si="1">SUM(AE24)</f>
        <v>0</v>
      </c>
      <c r="AF22" s="275">
        <f>SUM(AF23:AF24)</f>
        <v>226462662</v>
      </c>
      <c r="AG22" s="562"/>
    </row>
    <row r="23" spans="1:39" s="303" customFormat="1" ht="117.75" customHeight="1" x14ac:dyDescent="0.25">
      <c r="A23" s="326" t="s">
        <v>404</v>
      </c>
      <c r="B23" s="378">
        <v>1</v>
      </c>
      <c r="C23" s="379" t="s">
        <v>723</v>
      </c>
      <c r="D23" s="581">
        <v>24374</v>
      </c>
      <c r="E23" s="380">
        <v>24381</v>
      </c>
      <c r="F23" s="381"/>
      <c r="G23" s="382" t="s">
        <v>724</v>
      </c>
      <c r="H23" s="383">
        <v>4.6500000000000004</v>
      </c>
      <c r="I23" s="380">
        <v>44927</v>
      </c>
      <c r="J23" s="381">
        <v>0.2</v>
      </c>
      <c r="K23" s="380" t="s">
        <v>728</v>
      </c>
      <c r="L23" s="384"/>
      <c r="M23" s="380"/>
      <c r="N23" s="384"/>
      <c r="O23" s="380"/>
      <c r="P23" s="381"/>
      <c r="Q23" s="381"/>
      <c r="R23" s="383" t="s">
        <v>535</v>
      </c>
      <c r="S23" s="380" t="s">
        <v>730</v>
      </c>
      <c r="T23" s="385"/>
      <c r="U23" s="386">
        <v>6483196.6666666679</v>
      </c>
      <c r="V23" s="387" t="s">
        <v>714</v>
      </c>
      <c r="W23" s="387"/>
      <c r="X23" s="388">
        <v>44986</v>
      </c>
      <c r="Y23" s="387" t="s">
        <v>735</v>
      </c>
      <c r="Z23" s="390" t="s">
        <v>158</v>
      </c>
      <c r="AA23" s="389"/>
      <c r="AB23" s="390"/>
      <c r="AC23" s="390"/>
      <c r="AD23" s="391">
        <f t="shared" ref="AD23" si="2">SUM(AE23:AG23)</f>
        <v>136147130</v>
      </c>
      <c r="AE23" s="390"/>
      <c r="AF23" s="392">
        <v>136147130</v>
      </c>
      <c r="AG23" s="393" t="s">
        <v>727</v>
      </c>
    </row>
    <row r="24" spans="1:39" s="303" customFormat="1" ht="117.75" customHeight="1" x14ac:dyDescent="0.25">
      <c r="A24" s="326" t="s">
        <v>404</v>
      </c>
      <c r="B24" s="378">
        <v>2</v>
      </c>
      <c r="C24" s="379" t="s">
        <v>725</v>
      </c>
      <c r="D24" s="581">
        <v>23538</v>
      </c>
      <c r="E24" s="380">
        <v>23559</v>
      </c>
      <c r="F24" s="381"/>
      <c r="G24" s="382" t="s">
        <v>726</v>
      </c>
      <c r="H24" s="383">
        <v>3.66</v>
      </c>
      <c r="I24" s="380">
        <v>44470</v>
      </c>
      <c r="J24" s="381">
        <v>0.25</v>
      </c>
      <c r="K24" s="380">
        <v>40330</v>
      </c>
      <c r="L24" s="384"/>
      <c r="M24" s="380"/>
      <c r="N24" s="384"/>
      <c r="O24" s="380"/>
      <c r="P24" s="381"/>
      <c r="Q24" s="381"/>
      <c r="R24" s="383" t="s">
        <v>731</v>
      </c>
      <c r="S24" s="380" t="s">
        <v>732</v>
      </c>
      <c r="T24" s="385"/>
      <c r="U24" s="386">
        <v>5312678.333333333</v>
      </c>
      <c r="V24" s="387" t="s">
        <v>733</v>
      </c>
      <c r="W24" s="387"/>
      <c r="X24" s="388">
        <v>44986</v>
      </c>
      <c r="Y24" s="387" t="s">
        <v>519</v>
      </c>
      <c r="Z24" s="390" t="s">
        <v>158</v>
      </c>
      <c r="AA24" s="389"/>
      <c r="AB24" s="390"/>
      <c r="AC24" s="390"/>
      <c r="AD24" s="391">
        <f t="shared" ref="AD24" si="3">SUM(AE24:AG24)</f>
        <v>90315532</v>
      </c>
      <c r="AE24" s="390"/>
      <c r="AF24" s="392">
        <v>90315532</v>
      </c>
      <c r="AG24" s="393" t="s">
        <v>727</v>
      </c>
    </row>
    <row r="25" spans="1:39" s="303" customFormat="1" ht="24.75" customHeight="1" x14ac:dyDescent="0.25">
      <c r="B25" s="563" t="s">
        <v>28</v>
      </c>
      <c r="C25" s="563" t="s">
        <v>360</v>
      </c>
      <c r="D25" s="579" t="str">
        <f>COUNTA(D26:D27)&amp;" HỒ SƠ"</f>
        <v>2 HỒ SƠ</v>
      </c>
      <c r="E25" s="565"/>
      <c r="F25" s="565"/>
      <c r="G25" s="566"/>
      <c r="H25" s="566"/>
      <c r="I25" s="566"/>
      <c r="J25" s="566"/>
      <c r="K25" s="566"/>
      <c r="L25" s="566"/>
      <c r="M25" s="566"/>
      <c r="N25" s="566"/>
      <c r="O25" s="566"/>
      <c r="P25" s="566"/>
      <c r="Q25" s="566"/>
      <c r="R25" s="566"/>
      <c r="S25" s="566"/>
      <c r="T25" s="567"/>
      <c r="U25" s="568"/>
      <c r="V25" s="566"/>
      <c r="W25" s="566"/>
      <c r="X25" s="569"/>
      <c r="Y25" s="566"/>
      <c r="Z25" s="577">
        <f>COUNTA(Z26:Z27)</f>
        <v>2</v>
      </c>
      <c r="AA25" s="570"/>
      <c r="AB25" s="570"/>
      <c r="AC25" s="570"/>
      <c r="AD25" s="571">
        <f>AF25</f>
        <v>612458074</v>
      </c>
      <c r="AE25" s="571"/>
      <c r="AF25" s="571">
        <f>AF26+AF27</f>
        <v>612458074</v>
      </c>
      <c r="AG25" s="572"/>
      <c r="AI25" s="458">
        <f>SUMIF(Z28:Z30,"x",$AD$19:$AD$21)</f>
        <v>0</v>
      </c>
      <c r="AJ25" s="458">
        <f>SUMIF(AB28:AB30,"x",$AD$19:$AD$21)</f>
        <v>0</v>
      </c>
      <c r="AK25" s="325">
        <f>SUMIF($AK$19:$AK$21,"1",$AD$19:$AD$21)</f>
        <v>0</v>
      </c>
    </row>
    <row r="26" spans="1:39" s="303" customFormat="1" ht="117.75" customHeight="1" x14ac:dyDescent="0.25">
      <c r="A26" s="326" t="s">
        <v>404</v>
      </c>
      <c r="B26" s="378">
        <v>1</v>
      </c>
      <c r="C26" s="379" t="s">
        <v>739</v>
      </c>
      <c r="D26" s="581" t="s">
        <v>740</v>
      </c>
      <c r="E26" s="380">
        <v>24289</v>
      </c>
      <c r="F26" s="381" t="s">
        <v>741</v>
      </c>
      <c r="G26" s="382" t="s">
        <v>742</v>
      </c>
      <c r="H26" s="383" t="s">
        <v>743</v>
      </c>
      <c r="I26" s="380">
        <v>44470</v>
      </c>
      <c r="J26" s="381" t="s">
        <v>744</v>
      </c>
      <c r="K26" s="380" t="s">
        <v>745</v>
      </c>
      <c r="L26" s="384"/>
      <c r="M26" s="380"/>
      <c r="N26" s="384" t="s">
        <v>746</v>
      </c>
      <c r="O26" s="380" t="s">
        <v>747</v>
      </c>
      <c r="P26" s="381"/>
      <c r="Q26" s="381"/>
      <c r="R26" s="383" t="s">
        <v>748</v>
      </c>
      <c r="S26" s="380">
        <v>44105</v>
      </c>
      <c r="T26" s="385"/>
      <c r="U26" s="386">
        <v>12188263</v>
      </c>
      <c r="V26" s="387" t="s">
        <v>749</v>
      </c>
      <c r="W26" s="387"/>
      <c r="X26" s="388">
        <v>44958</v>
      </c>
      <c r="Y26" s="387" t="s">
        <v>760</v>
      </c>
      <c r="Z26" s="390" t="s">
        <v>158</v>
      </c>
      <c r="AA26" s="389"/>
      <c r="AB26" s="390"/>
      <c r="AC26" s="390"/>
      <c r="AD26" s="391">
        <f t="shared" ref="AD26:AD27" si="4">SUM(AE26:AG26)</f>
        <v>329083097</v>
      </c>
      <c r="AE26" s="390"/>
      <c r="AF26" s="392">
        <v>329083097</v>
      </c>
      <c r="AG26" s="393" t="s">
        <v>759</v>
      </c>
    </row>
    <row r="27" spans="1:39" s="303" customFormat="1" ht="117.75" customHeight="1" x14ac:dyDescent="0.25">
      <c r="A27" s="326" t="s">
        <v>404</v>
      </c>
      <c r="B27" s="378">
        <v>2</v>
      </c>
      <c r="C27" s="379" t="s">
        <v>750</v>
      </c>
      <c r="D27" s="581" t="s">
        <v>751</v>
      </c>
      <c r="E27" s="380"/>
      <c r="F27" s="381" t="s">
        <v>741</v>
      </c>
      <c r="G27" s="382" t="s">
        <v>752</v>
      </c>
      <c r="H27" s="383" t="s">
        <v>753</v>
      </c>
      <c r="I27" s="380">
        <v>44562</v>
      </c>
      <c r="J27" s="381">
        <v>1.05</v>
      </c>
      <c r="K27" s="380" t="s">
        <v>754</v>
      </c>
      <c r="L27" s="384"/>
      <c r="M27" s="380"/>
      <c r="N27" s="384" t="s">
        <v>755</v>
      </c>
      <c r="O27" s="380" t="s">
        <v>756</v>
      </c>
      <c r="P27" s="381"/>
      <c r="Q27" s="381"/>
      <c r="R27" s="383" t="s">
        <v>757</v>
      </c>
      <c r="S27" s="380">
        <v>44197</v>
      </c>
      <c r="T27" s="385"/>
      <c r="U27" s="385">
        <v>11566326</v>
      </c>
      <c r="V27" s="387" t="s">
        <v>758</v>
      </c>
      <c r="W27" s="387"/>
      <c r="X27" s="388">
        <v>44958</v>
      </c>
      <c r="Y27" s="387" t="s">
        <v>541</v>
      </c>
      <c r="Z27" s="390" t="s">
        <v>158</v>
      </c>
      <c r="AA27" s="389"/>
      <c r="AB27" s="390"/>
      <c r="AC27" s="390"/>
      <c r="AD27" s="391">
        <f t="shared" si="4"/>
        <v>283374977</v>
      </c>
      <c r="AE27" s="390"/>
      <c r="AF27" s="392">
        <v>283374977</v>
      </c>
      <c r="AG27" s="393" t="s">
        <v>759</v>
      </c>
    </row>
    <row r="35" spans="1:36" s="315" customFormat="1" ht="120" hidden="1" customHeight="1" x14ac:dyDescent="0.25">
      <c r="A35" s="326" t="s">
        <v>650</v>
      </c>
      <c r="B35" s="381">
        <v>34</v>
      </c>
      <c r="C35" s="379" t="s">
        <v>690</v>
      </c>
      <c r="D35" s="581">
        <v>26149</v>
      </c>
      <c r="E35" s="380">
        <v>26177</v>
      </c>
      <c r="F35" s="381"/>
      <c r="G35" s="382" t="s">
        <v>691</v>
      </c>
      <c r="H35" s="383">
        <v>4.2699999999999996</v>
      </c>
      <c r="I35" s="380">
        <v>43101</v>
      </c>
      <c r="J35" s="381"/>
      <c r="K35" s="380"/>
      <c r="L35" s="384" t="s">
        <v>396</v>
      </c>
      <c r="M35" s="380" t="s">
        <v>693</v>
      </c>
      <c r="N35" s="384"/>
      <c r="O35" s="380"/>
      <c r="P35" s="381"/>
      <c r="Q35" s="381"/>
      <c r="R35" s="383" t="s">
        <v>666</v>
      </c>
      <c r="S35" s="380" t="s">
        <v>692</v>
      </c>
      <c r="T35" s="394"/>
      <c r="U35" s="385">
        <v>5735606.5999999996</v>
      </c>
      <c r="V35" s="381" t="s">
        <v>694</v>
      </c>
      <c r="W35" s="381"/>
      <c r="X35" s="380">
        <v>44927</v>
      </c>
      <c r="Y35" s="381" t="s">
        <v>261</v>
      </c>
      <c r="Z35" s="390" t="s">
        <v>158</v>
      </c>
      <c r="AA35" s="224"/>
      <c r="AB35" s="224"/>
      <c r="AC35" s="224"/>
      <c r="AD35" s="395">
        <f>SUM(AE35:AF35)</f>
        <v>117579936</v>
      </c>
      <c r="AE35" s="224"/>
      <c r="AF35" s="396">
        <v>117579936</v>
      </c>
      <c r="AG35" s="473" t="s">
        <v>695</v>
      </c>
      <c r="AJ35" s="315">
        <v>1</v>
      </c>
    </row>
    <row r="36" spans="1:36" s="315" customFormat="1" ht="93.75" hidden="1" customHeight="1" x14ac:dyDescent="0.25">
      <c r="B36" s="381">
        <v>96</v>
      </c>
      <c r="C36" s="379" t="s">
        <v>710</v>
      </c>
      <c r="D36" s="581">
        <v>25898</v>
      </c>
      <c r="E36" s="380">
        <v>25903</v>
      </c>
      <c r="F36" s="381"/>
      <c r="G36" s="382" t="s">
        <v>711</v>
      </c>
      <c r="H36" s="383" t="s">
        <v>702</v>
      </c>
      <c r="I36" s="380">
        <v>44652</v>
      </c>
      <c r="J36" s="381"/>
      <c r="K36" s="380"/>
      <c r="L36" s="384" t="s">
        <v>435</v>
      </c>
      <c r="M36" s="380" t="s">
        <v>668</v>
      </c>
      <c r="N36" s="384" t="s">
        <v>393</v>
      </c>
      <c r="O36" s="380" t="s">
        <v>713</v>
      </c>
      <c r="P36" s="381"/>
      <c r="Q36" s="381"/>
      <c r="R36" s="383">
        <v>4.9800000000000004</v>
      </c>
      <c r="S36" s="380">
        <v>42826</v>
      </c>
      <c r="T36" s="398"/>
      <c r="U36" s="399">
        <v>9249835.8150000013</v>
      </c>
      <c r="V36" s="224" t="s">
        <v>712</v>
      </c>
      <c r="W36" s="224"/>
      <c r="X36" s="400">
        <v>44927</v>
      </c>
      <c r="Y36" s="400" t="s">
        <v>719</v>
      </c>
      <c r="Z36" s="390" t="s">
        <v>158</v>
      </c>
      <c r="AA36" s="224"/>
      <c r="AB36" s="224"/>
      <c r="AC36" s="224"/>
      <c r="AD36" s="289">
        <f>SUM(AE36:AG36)</f>
        <v>196559011</v>
      </c>
      <c r="AE36" s="397"/>
      <c r="AF36" s="397">
        <v>196559011</v>
      </c>
      <c r="AG36" s="473" t="s">
        <v>703</v>
      </c>
    </row>
  </sheetData>
  <autoFilter ref="A14:AK24">
    <filterColumn colId="7" showButton="0"/>
    <filterColumn colId="9" showButton="0"/>
    <filterColumn colId="11" showButton="0"/>
    <filterColumn colId="13" showButton="0"/>
    <filterColumn colId="15" showButton="0"/>
    <filterColumn colId="17" showButton="0"/>
    <filterColumn colId="21" showButton="0"/>
    <filterColumn colId="25" showButton="0"/>
    <filterColumn colId="26" showButton="0"/>
    <filterColumn colId="27" showButton="0"/>
    <filterColumn colId="30" showButton="0"/>
  </autoFilter>
  <mergeCells count="44">
    <mergeCell ref="B12:AG12"/>
    <mergeCell ref="B13:AG13"/>
    <mergeCell ref="B14:B15"/>
    <mergeCell ref="L14:M14"/>
    <mergeCell ref="N14:O14"/>
    <mergeCell ref="P14:Q14"/>
    <mergeCell ref="V14:W14"/>
    <mergeCell ref="X14:X15"/>
    <mergeCell ref="Y14:Y15"/>
    <mergeCell ref="G14:G15"/>
    <mergeCell ref="R14:S14"/>
    <mergeCell ref="T14:T15"/>
    <mergeCell ref="AE14:AF14"/>
    <mergeCell ref="U14:U15"/>
    <mergeCell ref="H14:I14"/>
    <mergeCell ref="J14:K14"/>
    <mergeCell ref="DY11:FD11"/>
    <mergeCell ref="FE11:GJ11"/>
    <mergeCell ref="GK11:HP11"/>
    <mergeCell ref="HQ11:IV11"/>
    <mergeCell ref="CS11:DX11"/>
    <mergeCell ref="A11:AF11"/>
    <mergeCell ref="AG11:BL11"/>
    <mergeCell ref="BM11:CR11"/>
    <mergeCell ref="B10:AG10"/>
    <mergeCell ref="W4:AG4"/>
    <mergeCell ref="W5:AG5"/>
    <mergeCell ref="B8:AG8"/>
    <mergeCell ref="B9:AG9"/>
    <mergeCell ref="B1:F1"/>
    <mergeCell ref="Y1:AG1"/>
    <mergeCell ref="B2:F2"/>
    <mergeCell ref="B3:F3"/>
    <mergeCell ref="B7:AG7"/>
    <mergeCell ref="X2:AG2"/>
    <mergeCell ref="X3:AG3"/>
    <mergeCell ref="B4:F4"/>
    <mergeCell ref="B5:F5"/>
    <mergeCell ref="AG14:AG15"/>
    <mergeCell ref="C14:C15"/>
    <mergeCell ref="D14:D15"/>
    <mergeCell ref="F14:F15"/>
    <mergeCell ref="Z14:AC14"/>
    <mergeCell ref="AD14:AD15"/>
  </mergeCells>
  <phoneticPr fontId="22" type="noConversion"/>
  <pageMargins left="0.19685039370078741" right="0.15748031496062992" top="0.27559055118110237" bottom="0.15748031496062992" header="0.31496062992125984" footer="0.15748031496062992"/>
  <pageSetup paperSize="9" scale="47" orientation="landscape" r:id="rId1"/>
  <headerFooter>
    <oddFooter>Page &amp;P</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49"/>
  <sheetViews>
    <sheetView topLeftCell="I17" zoomScale="118" zoomScaleNormal="118" workbookViewId="0">
      <selection activeCell="Q17" sqref="Q17"/>
    </sheetView>
  </sheetViews>
  <sheetFormatPr defaultRowHeight="14.5" x14ac:dyDescent="0.35"/>
  <cols>
    <col min="1" max="1" width="10.7265625" style="116" customWidth="1"/>
    <col min="2" max="2" width="3.54296875" style="442" customWidth="1"/>
    <col min="3" max="3" width="15.7265625" style="441" customWidth="1"/>
    <col min="4" max="4" width="7.453125" style="442" customWidth="1"/>
    <col min="5" max="5" width="7.54296875" style="442" customWidth="1"/>
    <col min="6" max="6" width="4.26953125" style="443" customWidth="1"/>
    <col min="7" max="7" width="16.453125" style="444" customWidth="1"/>
    <col min="8" max="8" width="7.1796875" style="443" customWidth="1"/>
    <col min="9" max="9" width="9" style="443" customWidth="1"/>
    <col min="10" max="10" width="3.7265625" style="443" customWidth="1"/>
    <col min="11" max="11" width="11.26953125" style="443" customWidth="1"/>
    <col min="12" max="12" width="3.26953125" style="443" customWidth="1"/>
    <col min="13" max="13" width="7.1796875" style="443" customWidth="1"/>
    <col min="14" max="14" width="3.26953125" style="443" customWidth="1"/>
    <col min="15" max="15" width="7.54296875" style="443" customWidth="1"/>
    <col min="16" max="16" width="3.453125" style="443" customWidth="1"/>
    <col min="17" max="17" width="7.54296875" style="443" customWidth="1"/>
    <col min="18" max="18" width="6.26953125" style="443" customWidth="1"/>
    <col min="19" max="19" width="9.1796875" style="443" customWidth="1"/>
    <col min="20" max="21" width="9.1796875" style="492" customWidth="1"/>
    <col min="22" max="22" width="3.26953125" style="492" customWidth="1"/>
    <col min="23" max="23" width="3.7265625" style="492" customWidth="1"/>
    <col min="24" max="24" width="4" style="492" customWidth="1"/>
    <col min="25" max="25" width="3.81640625" style="492" customWidth="1"/>
    <col min="26" max="26" width="5.1796875" style="492" customWidth="1"/>
    <col min="27" max="27" width="5.26953125" style="492" customWidth="1"/>
    <col min="28" max="28" width="7.1796875" style="492" customWidth="1"/>
    <col min="29" max="29" width="10.7265625" style="492" customWidth="1"/>
    <col min="30" max="30" width="11.1796875" style="442" customWidth="1"/>
    <col min="31" max="31" width="5.1796875" style="442" customWidth="1"/>
    <col min="32" max="32" width="8.7265625" style="442" customWidth="1"/>
    <col min="33" max="33" width="8" style="442" customWidth="1"/>
    <col min="34" max="34" width="8.1796875" style="442" customWidth="1"/>
    <col min="35" max="35" width="4.54296875" style="442" customWidth="1"/>
    <col min="36" max="36" width="6.1796875" style="442" customWidth="1"/>
    <col min="37" max="37" width="12.7265625" style="188" bestFit="1" customWidth="1"/>
    <col min="38" max="38" width="12.1796875" style="442" customWidth="1"/>
    <col min="39" max="39" width="12" style="442" customWidth="1"/>
    <col min="40" max="40" width="11.7265625" style="442" customWidth="1"/>
    <col min="41" max="41" width="16.453125" bestFit="1" customWidth="1"/>
    <col min="43" max="43" width="16.453125" bestFit="1" customWidth="1"/>
  </cols>
  <sheetData>
    <row r="1" spans="1:255" x14ac:dyDescent="0.35">
      <c r="B1" s="739"/>
      <c r="C1" s="760"/>
      <c r="D1" s="739"/>
      <c r="E1" s="136"/>
      <c r="F1" s="403"/>
      <c r="G1" s="403"/>
      <c r="H1" s="403"/>
      <c r="I1" s="403"/>
      <c r="J1" s="403"/>
      <c r="K1" s="403"/>
      <c r="L1" s="403"/>
      <c r="M1" s="403"/>
      <c r="N1" s="403"/>
      <c r="O1" s="403"/>
      <c r="P1" s="403"/>
      <c r="Q1" s="403"/>
      <c r="R1" s="403"/>
      <c r="S1" s="403"/>
      <c r="T1" s="474"/>
      <c r="U1" s="474"/>
      <c r="V1" s="474"/>
      <c r="W1" s="474"/>
      <c r="X1" s="474"/>
      <c r="Y1" s="474"/>
      <c r="Z1" s="474"/>
      <c r="AA1" s="474"/>
      <c r="AB1" s="474"/>
      <c r="AC1" s="474"/>
      <c r="AD1" s="78"/>
      <c r="AE1" s="78"/>
      <c r="AF1" s="78"/>
      <c r="AG1" s="78"/>
      <c r="AH1" s="78"/>
      <c r="AI1" s="78"/>
      <c r="AJ1" s="78"/>
      <c r="AK1" s="740" t="s">
        <v>237</v>
      </c>
      <c r="AL1" s="740"/>
      <c r="AM1" s="740"/>
      <c r="AN1" s="740"/>
    </row>
    <row r="2" spans="1:255" x14ac:dyDescent="0.35">
      <c r="A2" s="271"/>
      <c r="B2" s="761" t="s">
        <v>232</v>
      </c>
      <c r="C2" s="762"/>
      <c r="D2" s="761"/>
      <c r="E2" s="272"/>
      <c r="F2" s="405"/>
      <c r="G2" s="405"/>
      <c r="H2" s="405"/>
      <c r="I2" s="405"/>
      <c r="J2" s="405"/>
      <c r="K2" s="405"/>
      <c r="L2" s="405"/>
      <c r="M2" s="405"/>
      <c r="N2" s="405"/>
      <c r="O2" s="405"/>
      <c r="P2" s="405"/>
      <c r="Q2" s="405"/>
      <c r="R2" s="405"/>
      <c r="S2" s="405"/>
      <c r="T2" s="475"/>
      <c r="U2" s="475"/>
      <c r="V2" s="475"/>
      <c r="W2" s="475"/>
      <c r="X2" s="475"/>
      <c r="Y2" s="475"/>
      <c r="Z2" s="475"/>
      <c r="AA2" s="475"/>
      <c r="AB2" s="475"/>
      <c r="AC2" s="475"/>
      <c r="AD2" s="273"/>
      <c r="AE2" s="273"/>
      <c r="AF2" s="763" t="s">
        <v>383</v>
      </c>
      <c r="AG2" s="763"/>
      <c r="AH2" s="763"/>
      <c r="AI2" s="763"/>
      <c r="AJ2" s="763"/>
      <c r="AK2" s="763"/>
      <c r="AL2" s="763"/>
      <c r="AM2" s="763"/>
      <c r="AN2" s="763"/>
    </row>
    <row r="3" spans="1:255" x14ac:dyDescent="0.35">
      <c r="A3" s="271"/>
      <c r="B3" s="764" t="s">
        <v>657</v>
      </c>
      <c r="C3" s="765"/>
      <c r="D3" s="764"/>
      <c r="E3" s="272"/>
      <c r="F3" s="405"/>
      <c r="G3" s="405"/>
      <c r="H3" s="405"/>
      <c r="I3" s="405"/>
      <c r="J3" s="405"/>
      <c r="K3" s="405"/>
      <c r="L3" s="405"/>
      <c r="M3" s="405"/>
      <c r="N3" s="405"/>
      <c r="O3" s="405"/>
      <c r="P3" s="405"/>
      <c r="Q3" s="405"/>
      <c r="R3" s="405"/>
      <c r="S3" s="405"/>
      <c r="T3" s="475"/>
      <c r="U3" s="475"/>
      <c r="V3" s="475"/>
      <c r="W3" s="475"/>
      <c r="X3" s="475"/>
      <c r="Y3" s="475"/>
      <c r="Z3" s="475"/>
      <c r="AA3" s="475"/>
      <c r="AB3" s="475"/>
      <c r="AC3" s="475"/>
      <c r="AD3" s="273"/>
      <c r="AE3" s="273"/>
      <c r="AF3" s="764" t="s">
        <v>384</v>
      </c>
      <c r="AG3" s="764"/>
      <c r="AH3" s="764"/>
      <c r="AI3" s="764"/>
      <c r="AJ3" s="764"/>
      <c r="AK3" s="764"/>
      <c r="AL3" s="764"/>
      <c r="AM3" s="764"/>
      <c r="AN3" s="764"/>
    </row>
    <row r="4" spans="1:255" x14ac:dyDescent="0.35">
      <c r="A4" s="271"/>
      <c r="B4" s="763"/>
      <c r="C4" s="763"/>
      <c r="D4" s="763"/>
      <c r="E4" s="272"/>
      <c r="F4" s="405"/>
      <c r="G4" s="405"/>
      <c r="H4" s="405"/>
      <c r="I4" s="405"/>
      <c r="J4" s="405"/>
      <c r="K4" s="405"/>
      <c r="L4" s="405"/>
      <c r="M4" s="405"/>
      <c r="N4" s="405"/>
      <c r="O4" s="405"/>
      <c r="P4" s="405"/>
      <c r="Q4" s="405"/>
      <c r="R4" s="405"/>
      <c r="S4" s="405"/>
      <c r="T4" s="475"/>
      <c r="U4" s="475"/>
      <c r="V4" s="475"/>
      <c r="W4" s="475"/>
      <c r="X4" s="475"/>
      <c r="Y4" s="475"/>
      <c r="Z4" s="475"/>
      <c r="AA4" s="475"/>
      <c r="AB4" s="475"/>
      <c r="AC4" s="475"/>
      <c r="AD4" s="273"/>
      <c r="AE4" s="273"/>
      <c r="AF4" s="763"/>
      <c r="AG4" s="763"/>
      <c r="AH4" s="763"/>
      <c r="AI4" s="763"/>
      <c r="AJ4" s="763"/>
      <c r="AK4" s="763"/>
      <c r="AL4" s="763"/>
      <c r="AM4" s="763"/>
      <c r="AN4" s="763"/>
    </row>
    <row r="5" spans="1:255" x14ac:dyDescent="0.35">
      <c r="A5" s="271"/>
      <c r="B5" s="764"/>
      <c r="C5" s="764"/>
      <c r="D5" s="764"/>
      <c r="E5" s="272"/>
      <c r="F5" s="405"/>
      <c r="G5" s="405"/>
      <c r="H5" s="405"/>
      <c r="I5" s="405"/>
      <c r="J5" s="405"/>
      <c r="K5" s="405"/>
      <c r="L5" s="405"/>
      <c r="M5" s="405"/>
      <c r="N5" s="405"/>
      <c r="O5" s="405"/>
      <c r="P5" s="405"/>
      <c r="Q5" s="405"/>
      <c r="R5" s="405"/>
      <c r="S5" s="405"/>
      <c r="T5" s="475"/>
      <c r="U5" s="475"/>
      <c r="V5" s="475"/>
      <c r="W5" s="475"/>
      <c r="X5" s="475"/>
      <c r="Y5" s="475"/>
      <c r="Z5" s="475"/>
      <c r="AA5" s="475"/>
      <c r="AB5" s="475"/>
      <c r="AC5" s="475"/>
      <c r="AD5" s="273"/>
      <c r="AE5" s="273"/>
      <c r="AF5" s="764"/>
      <c r="AG5" s="764"/>
      <c r="AH5" s="764"/>
      <c r="AI5" s="764"/>
      <c r="AJ5" s="764"/>
      <c r="AK5" s="764"/>
      <c r="AL5" s="764"/>
      <c r="AM5" s="764"/>
      <c r="AN5" s="764"/>
    </row>
    <row r="6" spans="1:255" x14ac:dyDescent="0.35">
      <c r="A6" s="271"/>
      <c r="B6" s="374"/>
      <c r="C6" s="374"/>
      <c r="D6" s="374"/>
      <c r="E6" s="272"/>
      <c r="F6" s="405"/>
      <c r="G6" s="405"/>
      <c r="H6" s="405"/>
      <c r="I6" s="405"/>
      <c r="J6" s="405"/>
      <c r="K6" s="405"/>
      <c r="L6" s="405"/>
      <c r="M6" s="405"/>
      <c r="N6" s="405"/>
      <c r="O6" s="405"/>
      <c r="P6" s="405"/>
      <c r="Q6" s="405"/>
      <c r="R6" s="405"/>
      <c r="S6" s="405"/>
      <c r="T6" s="475"/>
      <c r="U6" s="475"/>
      <c r="V6" s="475"/>
      <c r="W6" s="475"/>
      <c r="X6" s="475"/>
      <c r="Y6" s="475"/>
      <c r="Z6" s="475"/>
      <c r="AA6" s="475"/>
      <c r="AB6" s="475"/>
      <c r="AC6" s="475"/>
      <c r="AD6" s="273"/>
      <c r="AE6" s="273"/>
      <c r="AF6" s="374"/>
      <c r="AG6" s="374"/>
      <c r="AH6" s="374"/>
      <c r="AI6" s="374"/>
      <c r="AJ6" s="374"/>
      <c r="AK6" s="374"/>
      <c r="AL6" s="374"/>
      <c r="AM6" s="374"/>
      <c r="AN6" s="374"/>
    </row>
    <row r="7" spans="1:255" s="218" customFormat="1" ht="15.5" x14ac:dyDescent="0.35">
      <c r="A7" s="270"/>
      <c r="B7" s="693" t="s">
        <v>659</v>
      </c>
      <c r="C7" s="766"/>
      <c r="D7" s="693"/>
      <c r="E7" s="693"/>
      <c r="F7" s="693"/>
      <c r="G7" s="693"/>
      <c r="H7" s="693"/>
      <c r="I7" s="693"/>
      <c r="J7" s="693"/>
      <c r="K7" s="693"/>
      <c r="L7" s="693"/>
      <c r="M7" s="693"/>
      <c r="N7" s="693"/>
      <c r="O7" s="693"/>
      <c r="P7" s="693"/>
      <c r="Q7" s="693"/>
      <c r="R7" s="693"/>
      <c r="S7" s="693"/>
      <c r="T7" s="693"/>
      <c r="U7" s="693"/>
      <c r="V7" s="693"/>
      <c r="W7" s="766"/>
      <c r="X7" s="693"/>
      <c r="Y7" s="693"/>
      <c r="Z7" s="766"/>
      <c r="AA7" s="693"/>
      <c r="AB7" s="766"/>
      <c r="AC7" s="693"/>
      <c r="AD7" s="693"/>
      <c r="AE7" s="693"/>
      <c r="AF7" s="693"/>
      <c r="AG7" s="693"/>
      <c r="AH7" s="693"/>
      <c r="AI7" s="693"/>
      <c r="AJ7" s="693"/>
      <c r="AK7" s="693"/>
      <c r="AL7" s="693"/>
      <c r="AM7" s="693"/>
      <c r="AN7" s="693"/>
    </row>
    <row r="8" spans="1:255" s="125" customFormat="1" ht="15.5" x14ac:dyDescent="0.3">
      <c r="A8" s="116"/>
      <c r="B8" s="701" t="s">
        <v>656</v>
      </c>
      <c r="C8" s="702"/>
      <c r="D8" s="701"/>
      <c r="E8" s="701"/>
      <c r="F8" s="701"/>
      <c r="G8" s="701"/>
      <c r="H8" s="701"/>
      <c r="I8" s="701"/>
      <c r="J8" s="701"/>
      <c r="K8" s="701"/>
      <c r="L8" s="701"/>
      <c r="M8" s="701"/>
      <c r="N8" s="701"/>
      <c r="O8" s="701"/>
      <c r="P8" s="701"/>
      <c r="Q8" s="701"/>
      <c r="R8" s="701"/>
      <c r="S8" s="701"/>
      <c r="T8" s="701"/>
      <c r="U8" s="701"/>
      <c r="V8" s="701"/>
      <c r="W8" s="702"/>
      <c r="X8" s="701"/>
      <c r="Y8" s="701"/>
      <c r="Z8" s="702"/>
      <c r="AA8" s="701"/>
      <c r="AB8" s="702"/>
      <c r="AC8" s="701"/>
      <c r="AD8" s="701"/>
      <c r="AE8" s="701"/>
      <c r="AF8" s="701"/>
      <c r="AG8" s="701"/>
      <c r="AH8" s="701"/>
      <c r="AI8" s="701"/>
      <c r="AJ8" s="701"/>
      <c r="AK8" s="701"/>
      <c r="AL8" s="701"/>
      <c r="AM8" s="701"/>
      <c r="AN8" s="701"/>
    </row>
    <row r="9" spans="1:255" s="125" customFormat="1" ht="15.5" x14ac:dyDescent="0.3">
      <c r="A9" s="116"/>
      <c r="B9" s="701"/>
      <c r="C9" s="702"/>
      <c r="D9" s="701"/>
      <c r="E9" s="701"/>
      <c r="F9" s="701"/>
      <c r="G9" s="701"/>
      <c r="H9" s="701"/>
      <c r="I9" s="701"/>
      <c r="J9" s="701"/>
      <c r="K9" s="701"/>
      <c r="L9" s="701"/>
      <c r="M9" s="701"/>
      <c r="N9" s="701"/>
      <c r="O9" s="701"/>
      <c r="P9" s="701"/>
      <c r="Q9" s="701"/>
      <c r="R9" s="701"/>
      <c r="S9" s="701"/>
      <c r="T9" s="701"/>
      <c r="U9" s="701"/>
      <c r="V9" s="701"/>
      <c r="W9" s="701"/>
      <c r="X9" s="701"/>
      <c r="Y9" s="701"/>
      <c r="Z9" s="701"/>
      <c r="AA9" s="701"/>
      <c r="AB9" s="701"/>
      <c r="AC9" s="701"/>
      <c r="AD9" s="701"/>
      <c r="AE9" s="701"/>
      <c r="AF9" s="701"/>
      <c r="AG9" s="701"/>
      <c r="AH9" s="701"/>
      <c r="AI9" s="701"/>
      <c r="AJ9" s="701"/>
      <c r="AK9" s="701"/>
      <c r="AL9" s="701"/>
      <c r="AM9" s="701"/>
      <c r="AN9" s="701"/>
    </row>
    <row r="10" spans="1:255" s="125" customFormat="1" ht="15.5" hidden="1" x14ac:dyDescent="0.3">
      <c r="A10" s="116"/>
      <c r="B10" s="701" t="s">
        <v>658</v>
      </c>
      <c r="C10" s="702"/>
      <c r="D10" s="701"/>
      <c r="E10" s="701"/>
      <c r="F10" s="701"/>
      <c r="G10" s="701"/>
      <c r="H10" s="701"/>
      <c r="I10" s="701"/>
      <c r="J10" s="701"/>
      <c r="K10" s="701"/>
      <c r="L10" s="701"/>
      <c r="M10" s="701"/>
      <c r="N10" s="701"/>
      <c r="O10" s="701"/>
      <c r="P10" s="701"/>
      <c r="Q10" s="701"/>
      <c r="R10" s="701"/>
      <c r="S10" s="701"/>
      <c r="T10" s="701"/>
      <c r="U10" s="701"/>
      <c r="V10" s="701"/>
      <c r="W10" s="701"/>
      <c r="X10" s="701"/>
      <c r="Y10" s="701"/>
      <c r="Z10" s="701"/>
      <c r="AA10" s="701"/>
      <c r="AB10" s="701"/>
      <c r="AC10" s="701"/>
      <c r="AD10" s="701"/>
      <c r="AE10" s="701"/>
      <c r="AF10" s="701"/>
      <c r="AG10" s="701"/>
      <c r="AH10" s="701"/>
      <c r="AI10" s="701"/>
      <c r="AJ10" s="701"/>
      <c r="AK10" s="701"/>
      <c r="AL10" s="701"/>
      <c r="AM10" s="701"/>
      <c r="AN10" s="701"/>
    </row>
    <row r="11" spans="1:255" s="125" customFormat="1" ht="3.75" customHeight="1" x14ac:dyDescent="0.3">
      <c r="A11" s="116"/>
      <c r="B11" s="701"/>
      <c r="C11" s="702"/>
      <c r="D11" s="701"/>
      <c r="E11" s="701"/>
      <c r="F11" s="701"/>
      <c r="G11" s="701"/>
      <c r="H11" s="701"/>
      <c r="I11" s="701"/>
      <c r="J11" s="701"/>
      <c r="K11" s="701"/>
      <c r="L11" s="701"/>
      <c r="M11" s="701"/>
      <c r="N11" s="701"/>
      <c r="O11" s="701"/>
      <c r="P11" s="701"/>
      <c r="Q11" s="701"/>
      <c r="R11" s="701"/>
      <c r="S11" s="701"/>
      <c r="T11" s="701"/>
      <c r="U11" s="701"/>
      <c r="V11" s="701"/>
      <c r="W11" s="701"/>
      <c r="X11" s="701"/>
      <c r="Y11" s="701"/>
      <c r="Z11" s="701"/>
      <c r="AA11" s="701"/>
      <c r="AB11" s="701"/>
      <c r="AC11" s="701"/>
      <c r="AD11" s="701"/>
      <c r="AE11" s="701"/>
      <c r="AF11" s="701"/>
      <c r="AG11" s="701"/>
      <c r="AH11" s="701"/>
      <c r="AI11" s="701"/>
      <c r="AJ11" s="701"/>
      <c r="AK11" s="701"/>
      <c r="AL11" s="701"/>
      <c r="AM11" s="701"/>
      <c r="AN11" s="701"/>
    </row>
    <row r="12" spans="1:255" s="125" customFormat="1" ht="4.5" customHeight="1" thickBot="1" x14ac:dyDescent="0.35">
      <c r="A12" s="116"/>
      <c r="B12" s="767"/>
      <c r="C12" s="768"/>
      <c r="D12" s="767"/>
      <c r="E12" s="767"/>
      <c r="F12" s="767"/>
      <c r="G12" s="767"/>
      <c r="H12" s="767"/>
      <c r="I12" s="767"/>
      <c r="J12" s="767"/>
      <c r="K12" s="767"/>
      <c r="L12" s="767"/>
      <c r="M12" s="767"/>
      <c r="N12" s="767"/>
      <c r="O12" s="767"/>
      <c r="P12" s="767"/>
      <c r="Q12" s="767"/>
      <c r="R12" s="767"/>
      <c r="S12" s="767"/>
      <c r="T12" s="767"/>
      <c r="U12" s="767"/>
      <c r="V12" s="767"/>
      <c r="W12" s="768"/>
      <c r="X12" s="767"/>
      <c r="Y12" s="767"/>
      <c r="Z12" s="768"/>
      <c r="AA12" s="767"/>
      <c r="AB12" s="768"/>
      <c r="AC12" s="767"/>
      <c r="AD12" s="767"/>
      <c r="AE12" s="767"/>
      <c r="AF12" s="767"/>
      <c r="AG12" s="767"/>
      <c r="AH12" s="767"/>
      <c r="AI12" s="767"/>
      <c r="AJ12" s="767"/>
      <c r="AK12" s="767"/>
      <c r="AL12" s="767"/>
      <c r="AM12" s="767"/>
      <c r="AN12" s="767"/>
    </row>
    <row r="13" spans="1:255" s="408" customFormat="1" ht="51" customHeight="1" x14ac:dyDescent="0.35">
      <c r="A13" s="116"/>
      <c r="B13" s="769" t="s">
        <v>3</v>
      </c>
      <c r="C13" s="771" t="s">
        <v>4</v>
      </c>
      <c r="D13" s="773" t="s">
        <v>5</v>
      </c>
      <c r="E13" s="771" t="s">
        <v>189</v>
      </c>
      <c r="F13" s="775" t="s">
        <v>6</v>
      </c>
      <c r="G13" s="773" t="s">
        <v>7</v>
      </c>
      <c r="H13" s="777" t="s">
        <v>8</v>
      </c>
      <c r="I13" s="778"/>
      <c r="J13" s="777" t="s">
        <v>179</v>
      </c>
      <c r="K13" s="778"/>
      <c r="L13" s="777" t="s">
        <v>176</v>
      </c>
      <c r="M13" s="778"/>
      <c r="N13" s="777" t="s">
        <v>177</v>
      </c>
      <c r="O13" s="778"/>
      <c r="P13" s="777" t="s">
        <v>178</v>
      </c>
      <c r="Q13" s="778"/>
      <c r="R13" s="777" t="s">
        <v>13</v>
      </c>
      <c r="S13" s="778"/>
      <c r="T13" s="781" t="s">
        <v>83</v>
      </c>
      <c r="U13" s="782"/>
      <c r="V13" s="782"/>
      <c r="W13" s="782"/>
      <c r="X13" s="782"/>
      <c r="Y13" s="782"/>
      <c r="Z13" s="782"/>
      <c r="AA13" s="782"/>
      <c r="AB13" s="782"/>
      <c r="AC13" s="783"/>
      <c r="AD13" s="773" t="s">
        <v>97</v>
      </c>
      <c r="AE13" s="777" t="s">
        <v>14</v>
      </c>
      <c r="AF13" s="778"/>
      <c r="AG13" s="773" t="s">
        <v>15</v>
      </c>
      <c r="AH13" s="773" t="s">
        <v>16</v>
      </c>
      <c r="AI13" s="779" t="s">
        <v>149</v>
      </c>
      <c r="AJ13" s="779" t="s">
        <v>93</v>
      </c>
      <c r="AK13" s="781" t="s">
        <v>95</v>
      </c>
      <c r="AL13" s="782"/>
      <c r="AM13" s="782"/>
      <c r="AN13" s="783"/>
      <c r="AO13" s="407"/>
    </row>
    <row r="14" spans="1:255" s="408" customFormat="1" ht="69.75" customHeight="1" x14ac:dyDescent="0.35">
      <c r="A14" s="116"/>
      <c r="B14" s="770"/>
      <c r="C14" s="772"/>
      <c r="D14" s="774"/>
      <c r="E14" s="772"/>
      <c r="F14" s="776"/>
      <c r="G14" s="774"/>
      <c r="H14" s="409" t="s">
        <v>18</v>
      </c>
      <c r="I14" s="410" t="s">
        <v>19</v>
      </c>
      <c r="J14" s="410" t="s">
        <v>20</v>
      </c>
      <c r="K14" s="410" t="s">
        <v>19</v>
      </c>
      <c r="L14" s="409" t="s">
        <v>21</v>
      </c>
      <c r="M14" s="410" t="s">
        <v>19</v>
      </c>
      <c r="N14" s="409" t="s">
        <v>21</v>
      </c>
      <c r="O14" s="410" t="s">
        <v>19</v>
      </c>
      <c r="P14" s="410" t="s">
        <v>20</v>
      </c>
      <c r="Q14" s="410" t="s">
        <v>19</v>
      </c>
      <c r="R14" s="410" t="s">
        <v>20</v>
      </c>
      <c r="S14" s="410" t="s">
        <v>19</v>
      </c>
      <c r="T14" s="476" t="s">
        <v>84</v>
      </c>
      <c r="U14" s="476" t="s">
        <v>85</v>
      </c>
      <c r="V14" s="477" t="s">
        <v>86</v>
      </c>
      <c r="W14" s="477" t="s">
        <v>20</v>
      </c>
      <c r="X14" s="477" t="s">
        <v>87</v>
      </c>
      <c r="Y14" s="477" t="s">
        <v>91</v>
      </c>
      <c r="Z14" s="477" t="s">
        <v>92</v>
      </c>
      <c r="AA14" s="477" t="s">
        <v>90</v>
      </c>
      <c r="AB14" s="476" t="s">
        <v>88</v>
      </c>
      <c r="AC14" s="476" t="s">
        <v>89</v>
      </c>
      <c r="AD14" s="774"/>
      <c r="AE14" s="410" t="s">
        <v>22</v>
      </c>
      <c r="AF14" s="413" t="s">
        <v>23</v>
      </c>
      <c r="AG14" s="774"/>
      <c r="AH14" s="774"/>
      <c r="AI14" s="780"/>
      <c r="AJ14" s="780"/>
      <c r="AK14" s="414" t="s">
        <v>24</v>
      </c>
      <c r="AL14" s="415" t="s">
        <v>25</v>
      </c>
      <c r="AM14" s="415" t="s">
        <v>26</v>
      </c>
      <c r="AN14" s="415" t="s">
        <v>27</v>
      </c>
      <c r="AO14" s="407"/>
    </row>
    <row r="15" spans="1:255" s="419" customFormat="1" x14ac:dyDescent="0.35">
      <c r="A15" s="416"/>
      <c r="B15" s="417"/>
      <c r="C15" s="418" t="s">
        <v>28</v>
      </c>
      <c r="D15" s="244">
        <v>1</v>
      </c>
      <c r="E15" s="244"/>
      <c r="F15" s="244">
        <v>2</v>
      </c>
      <c r="G15" s="244">
        <v>3</v>
      </c>
      <c r="H15" s="244">
        <v>4</v>
      </c>
      <c r="I15" s="244">
        <v>5</v>
      </c>
      <c r="J15" s="244">
        <v>6</v>
      </c>
      <c r="K15" s="244">
        <v>7</v>
      </c>
      <c r="L15" s="244">
        <v>8</v>
      </c>
      <c r="M15" s="244">
        <v>9</v>
      </c>
      <c r="N15" s="244">
        <v>10</v>
      </c>
      <c r="O15" s="244">
        <v>11</v>
      </c>
      <c r="P15" s="244">
        <v>12</v>
      </c>
      <c r="Q15" s="244">
        <v>13</v>
      </c>
      <c r="R15" s="244">
        <v>14</v>
      </c>
      <c r="S15" s="244">
        <v>15</v>
      </c>
      <c r="T15" s="478"/>
      <c r="U15" s="478"/>
      <c r="V15" s="478"/>
      <c r="W15" s="478"/>
      <c r="X15" s="478"/>
      <c r="Y15" s="478"/>
      <c r="Z15" s="478"/>
      <c r="AA15" s="478"/>
      <c r="AB15" s="478"/>
      <c r="AC15" s="478"/>
      <c r="AD15" s="244">
        <v>16</v>
      </c>
      <c r="AE15" s="244">
        <v>17</v>
      </c>
      <c r="AF15" s="244">
        <v>18</v>
      </c>
      <c r="AG15" s="244">
        <v>19</v>
      </c>
      <c r="AH15" s="244">
        <v>20</v>
      </c>
      <c r="AI15" s="244"/>
      <c r="AJ15" s="244"/>
      <c r="AK15" s="244">
        <v>21</v>
      </c>
      <c r="AL15" s="244">
        <v>22</v>
      </c>
      <c r="AM15" s="244">
        <v>23</v>
      </c>
      <c r="AN15" s="244">
        <v>24</v>
      </c>
    </row>
    <row r="16" spans="1:255" s="428" customFormat="1" x14ac:dyDescent="0.35">
      <c r="A16" s="116"/>
      <c r="B16" s="420" t="s">
        <v>155</v>
      </c>
      <c r="C16" s="276" t="s">
        <v>33</v>
      </c>
      <c r="D16" s="277" t="str">
        <f>COUNT(#REF!)&amp;" hồ sơ"</f>
        <v>0 hồ sơ</v>
      </c>
      <c r="E16" s="278"/>
      <c r="F16" s="421"/>
      <c r="G16" s="422"/>
      <c r="H16" s="421"/>
      <c r="I16" s="421"/>
      <c r="J16" s="421"/>
      <c r="K16" s="421"/>
      <c r="L16" s="421"/>
      <c r="M16" s="421"/>
      <c r="N16" s="421"/>
      <c r="O16" s="421"/>
      <c r="P16" s="421"/>
      <c r="Q16" s="421"/>
      <c r="R16" s="421"/>
      <c r="S16" s="421"/>
      <c r="T16" s="479"/>
      <c r="U16" s="479"/>
      <c r="V16" s="479"/>
      <c r="W16" s="479"/>
      <c r="X16" s="479"/>
      <c r="Y16" s="479"/>
      <c r="Z16" s="479"/>
      <c r="AA16" s="479"/>
      <c r="AB16" s="479"/>
      <c r="AC16" s="479"/>
      <c r="AD16" s="278"/>
      <c r="AE16" s="278"/>
      <c r="AF16" s="278"/>
      <c r="AG16" s="278"/>
      <c r="AH16" s="278"/>
      <c r="AI16" s="278"/>
      <c r="AJ16" s="278"/>
      <c r="AK16" s="279" t="e">
        <f>SUM(#REF!)</f>
        <v>#REF!</v>
      </c>
      <c r="AL16" s="279" t="e">
        <f>SUM(#REF!)</f>
        <v>#REF!</v>
      </c>
      <c r="AM16" s="279" t="e">
        <f>SUM(#REF!)</f>
        <v>#REF!</v>
      </c>
      <c r="AN16" s="279" t="e">
        <f>SUM(#REF!)</f>
        <v>#REF!</v>
      </c>
      <c r="AO16"/>
      <c r="AP16"/>
      <c r="AQ16"/>
      <c r="AR16"/>
      <c r="AS16"/>
      <c r="AT16"/>
      <c r="AU16"/>
      <c r="AV16"/>
      <c r="AW16"/>
      <c r="AX16"/>
      <c r="AY16"/>
      <c r="AZ16"/>
      <c r="BA16"/>
      <c r="BB16"/>
      <c r="BC16"/>
      <c r="BD16"/>
      <c r="BE16"/>
      <c r="BF16"/>
      <c r="BG16"/>
      <c r="BH16"/>
      <c r="BI16"/>
      <c r="BJ16"/>
      <c r="BK16"/>
      <c r="BL16"/>
      <c r="BM16"/>
      <c r="BN16"/>
      <c r="BO16"/>
      <c r="BP16"/>
      <c r="BQ16"/>
      <c r="BR16"/>
      <c r="BS16"/>
      <c r="BT16"/>
      <c r="BU16"/>
      <c r="BV16"/>
      <c r="BW16"/>
      <c r="BX16"/>
      <c r="BY16"/>
      <c r="BZ16"/>
      <c r="CA16"/>
      <c r="CB16"/>
      <c r="CC16"/>
      <c r="CD16"/>
      <c r="CE16"/>
      <c r="CF16"/>
      <c r="CG16"/>
      <c r="CH16"/>
      <c r="CI16"/>
      <c r="CJ16"/>
      <c r="CK16"/>
      <c r="CL16"/>
      <c r="CM16"/>
      <c r="CN16"/>
      <c r="CO16"/>
      <c r="CP16"/>
      <c r="CQ16"/>
      <c r="CR16"/>
      <c r="CS16"/>
      <c r="CT16"/>
      <c r="CU16"/>
      <c r="CV16"/>
      <c r="CW16"/>
      <c r="CX16"/>
      <c r="CY16"/>
      <c r="CZ16"/>
      <c r="DA16"/>
      <c r="DB16"/>
      <c r="DC16"/>
      <c r="DD16"/>
      <c r="DE16"/>
      <c r="DF16"/>
      <c r="DG16"/>
      <c r="DH16"/>
      <c r="DI16"/>
      <c r="DJ16"/>
      <c r="DK16"/>
      <c r="DL16"/>
      <c r="DM16"/>
      <c r="DN16"/>
      <c r="DO16"/>
      <c r="DP16"/>
      <c r="DQ16"/>
      <c r="DR16"/>
      <c r="DS16"/>
      <c r="DT16"/>
      <c r="DU16"/>
      <c r="DV16"/>
      <c r="DW16"/>
      <c r="DX16"/>
      <c r="DY16"/>
      <c r="DZ16"/>
      <c r="EA16"/>
      <c r="EB16"/>
      <c r="EC16"/>
      <c r="ED16"/>
      <c r="EE16"/>
      <c r="EF16"/>
      <c r="EG16"/>
      <c r="EH16"/>
      <c r="EI16"/>
      <c r="EJ16"/>
      <c r="EK16"/>
      <c r="EL16"/>
      <c r="EM16"/>
      <c r="EN16"/>
      <c r="EO16"/>
      <c r="EP16"/>
      <c r="EQ16"/>
      <c r="ER16"/>
      <c r="ES16"/>
      <c r="ET16"/>
      <c r="EU16"/>
      <c r="EV16"/>
      <c r="EW16"/>
      <c r="EX16"/>
      <c r="EY16"/>
      <c r="EZ16"/>
      <c r="FA16"/>
      <c r="FB16"/>
      <c r="FC16"/>
      <c r="FD16"/>
      <c r="FE16"/>
      <c r="FF16"/>
      <c r="FG16"/>
      <c r="FH16"/>
      <c r="FI16"/>
      <c r="FJ16"/>
      <c r="FK16"/>
      <c r="FL16"/>
      <c r="FM16"/>
      <c r="FN16"/>
      <c r="FO16"/>
      <c r="FP16"/>
      <c r="FQ16"/>
      <c r="FR16"/>
      <c r="FS16"/>
      <c r="FT16"/>
      <c r="FU16"/>
      <c r="FV16"/>
      <c r="FW16"/>
      <c r="FX16"/>
      <c r="FY16"/>
      <c r="FZ16"/>
      <c r="GA16"/>
      <c r="GB16"/>
      <c r="GC16"/>
      <c r="GD16"/>
      <c r="GE16"/>
      <c r="GF16"/>
      <c r="GG16"/>
      <c r="GH16"/>
      <c r="GI16"/>
      <c r="GJ16"/>
      <c r="GK16"/>
      <c r="GL16"/>
      <c r="GM16"/>
      <c r="GN16"/>
      <c r="GO16"/>
      <c r="GP16"/>
      <c r="GQ16"/>
      <c r="GR16"/>
      <c r="GS16"/>
      <c r="GT16"/>
      <c r="GU16"/>
      <c r="GV16"/>
      <c r="GW16"/>
      <c r="GX16"/>
      <c r="GY16"/>
      <c r="GZ16"/>
      <c r="HA16"/>
      <c r="HB16"/>
      <c r="HC16"/>
      <c r="HD16"/>
      <c r="HE16"/>
      <c r="HF16"/>
      <c r="HG16"/>
      <c r="HH16"/>
      <c r="HI16"/>
      <c r="HJ16"/>
      <c r="HK16"/>
      <c r="HL16"/>
      <c r="HM16"/>
      <c r="HN16"/>
      <c r="HO16"/>
      <c r="HP16"/>
      <c r="HQ16"/>
      <c r="HR16"/>
      <c r="HS16"/>
      <c r="HT16"/>
      <c r="HU16"/>
      <c r="HV16"/>
      <c r="HW16"/>
      <c r="HX16"/>
      <c r="HY16"/>
      <c r="HZ16"/>
      <c r="IA16"/>
      <c r="IB16"/>
      <c r="IC16"/>
      <c r="ID16"/>
      <c r="IE16"/>
      <c r="IF16"/>
      <c r="IG16"/>
      <c r="IH16"/>
      <c r="II16"/>
      <c r="IJ16"/>
      <c r="IK16"/>
      <c r="IL16"/>
      <c r="IM16"/>
      <c r="IN16"/>
      <c r="IO16"/>
      <c r="IP16"/>
      <c r="IQ16"/>
      <c r="IR16"/>
      <c r="IS16"/>
      <c r="IT16"/>
      <c r="IU16"/>
    </row>
    <row r="17" spans="1:255" s="428" customFormat="1" ht="42" x14ac:dyDescent="0.35">
      <c r="A17" s="116" t="s">
        <v>400</v>
      </c>
      <c r="B17" s="137">
        <v>1</v>
      </c>
      <c r="C17" s="370" t="s">
        <v>690</v>
      </c>
      <c r="D17" s="139">
        <v>24811</v>
      </c>
      <c r="E17" s="98">
        <f t="shared" ref="E17" si="0">DATE(YEAR(D17),MONTH(D17)+1,1)</f>
        <v>24838</v>
      </c>
      <c r="F17" s="140"/>
      <c r="G17" s="214" t="s">
        <v>691</v>
      </c>
      <c r="H17" s="372">
        <v>4.2699999999999996</v>
      </c>
      <c r="I17" s="371">
        <v>43101</v>
      </c>
      <c r="J17" s="140"/>
      <c r="K17" s="139"/>
      <c r="L17" s="161" t="s">
        <v>396</v>
      </c>
      <c r="M17" s="139" t="s">
        <v>693</v>
      </c>
      <c r="N17" s="161"/>
      <c r="O17" s="139"/>
      <c r="P17" s="140"/>
      <c r="Q17" s="140"/>
      <c r="R17" s="155" t="s">
        <v>666</v>
      </c>
      <c r="S17" s="139" t="s">
        <v>692</v>
      </c>
      <c r="T17" s="480">
        <f>EDATE(AG17,-60)</f>
        <v>43374</v>
      </c>
      <c r="U17" s="481" t="s">
        <v>762</v>
      </c>
      <c r="V17" s="482" t="e">
        <f t="shared" ref="V17:V27" si="1">ROUND(DAYS360(T17,U17,0)/30,0)</f>
        <v>#VALUE!</v>
      </c>
      <c r="W17" s="483">
        <v>3.65</v>
      </c>
      <c r="X17" s="483"/>
      <c r="Y17" s="484"/>
      <c r="Z17" s="534">
        <v>0.18</v>
      </c>
      <c r="AA17" s="486">
        <f t="shared" ref="AA17:AA27" si="2">W17+X17+Y17*W17+(W17+X17+Y17*W17)*Z17</f>
        <v>4.3069999999999995</v>
      </c>
      <c r="AB17" s="487">
        <v>1150000</v>
      </c>
      <c r="AC17" s="487" t="e">
        <f t="shared" ref="AC17:AC27" si="3">V17*AA17*AB17</f>
        <v>#VALUE!</v>
      </c>
      <c r="AD17" s="163" t="e">
        <f>AC28/V28</f>
        <v>#VALUE!</v>
      </c>
      <c r="AE17" s="140" t="s">
        <v>694</v>
      </c>
      <c r="AF17" s="140"/>
      <c r="AG17" s="139">
        <v>45200</v>
      </c>
      <c r="AH17" s="140" t="str">
        <f>DATEDIF(E17,AG17,"y")&amp;"t"&amp;DATEDIF(E17,AG17,"ym")&amp;"th"</f>
        <v>55t9th</v>
      </c>
      <c r="AI17" s="98" t="s">
        <v>689</v>
      </c>
      <c r="AJ17" s="113" t="str">
        <f>QUOTIENT((VALUE(LEFT(AI17,2))*12+VALUE(MID(AI17,4,LEN(AI17)-5))-(VALUE(LEFT(AH17,2))*12+VALUE(MID(AH17,4,LEN(AH17)-5)))),12)&amp;"n"&amp;MOD(VALUE(LEFT(AI17,2))*12+VALUE(MID(AI17,4,LEN(AI17)-5))-(VALUE(LEFT(AH17,2))*12+VALUE(MID(AH17,4,LEN(AH17)-5))),12)&amp;"t"</f>
        <v>5n0t</v>
      </c>
      <c r="AK17" s="391" t="e">
        <f>SUM(AL17:AN17)</f>
        <v>#VALUE!</v>
      </c>
      <c r="AL17" s="163" t="e">
        <f>ROUND(IF(LEN(AJ17)&lt;3,VALUE(LEFT(AJ17,1))*3*AD17,(VALUE(LEFT(AJ17,1))*3+IF(VALUE(MID(AJ17,3,LEN(AJ17)-3))&gt;6,2,IF(VALUE(MID(AJ17,3,LEN(AJ17)-3))&gt;0,1,0)))*AD17),0)</f>
        <v>#VALUE!</v>
      </c>
      <c r="AM17" s="163" t="e">
        <f>ROUND(5*AD17,0)</f>
        <v>#VALUE!</v>
      </c>
      <c r="AN17" s="164" t="e">
        <f>ROUND(((VALUE(LEFT(AE17,2)-20))+IF(LEN(AE17)&lt;4,0,IF(VALUE(MID(AE17,4,LEN(AE17)-4))&gt;6,1,IF(VALUE(MID(AE17,4,LEN(AE17)-4))&gt;2,0.5,0))))*AD17*1/2,0)</f>
        <v>#VALUE!</v>
      </c>
      <c r="AO17"/>
      <c r="AP17"/>
      <c r="AQ17"/>
      <c r="AR17"/>
      <c r="AS17"/>
      <c r="AT17"/>
      <c r="AU17"/>
      <c r="AV17"/>
      <c r="AW17"/>
      <c r="AX17"/>
      <c r="AY17"/>
      <c r="AZ17"/>
      <c r="BA17"/>
      <c r="BB17"/>
      <c r="BC17"/>
      <c r="BD17"/>
      <c r="BE17"/>
      <c r="BF17"/>
      <c r="BG17"/>
      <c r="BH17"/>
      <c r="BI17"/>
      <c r="BJ17"/>
      <c r="BK17"/>
      <c r="BL17"/>
      <c r="BM17"/>
      <c r="BN17"/>
      <c r="BO17"/>
      <c r="BP17"/>
      <c r="BQ17"/>
      <c r="BR17"/>
      <c r="BS17"/>
      <c r="BT17"/>
      <c r="BU17"/>
      <c r="BV17"/>
      <c r="BW17"/>
      <c r="BX17"/>
      <c r="BY17"/>
      <c r="BZ17"/>
      <c r="CA17"/>
      <c r="CB17"/>
      <c r="CC17"/>
      <c r="CD17"/>
      <c r="CE17"/>
      <c r="CF17"/>
      <c r="CG17"/>
      <c r="CH17"/>
      <c r="CI17"/>
      <c r="CJ17"/>
      <c r="CK17"/>
      <c r="CL17"/>
      <c r="CM17"/>
      <c r="CN17"/>
      <c r="CO17"/>
      <c r="CP17"/>
      <c r="CQ17"/>
      <c r="CR17"/>
      <c r="CS17"/>
      <c r="CT17"/>
      <c r="CU17"/>
      <c r="CV17"/>
      <c r="CW17"/>
      <c r="CX17"/>
      <c r="CY17"/>
      <c r="CZ17"/>
      <c r="DA17"/>
      <c r="DB17"/>
      <c r="DC17"/>
      <c r="DD17"/>
      <c r="DE17"/>
      <c r="DF17"/>
      <c r="DG17"/>
      <c r="DH17"/>
      <c r="DI17"/>
      <c r="DJ17"/>
      <c r="DK17"/>
      <c r="DL17"/>
      <c r="DM17"/>
      <c r="DN17"/>
      <c r="DO17"/>
      <c r="DP17"/>
      <c r="DQ17"/>
      <c r="DR17"/>
      <c r="DS17"/>
      <c r="DT17"/>
      <c r="DU17"/>
      <c r="DV17"/>
      <c r="DW17"/>
      <c r="DX17"/>
      <c r="DY17"/>
      <c r="DZ17"/>
      <c r="EA17"/>
      <c r="EB17"/>
      <c r="EC17"/>
      <c r="ED17"/>
      <c r="EE17"/>
      <c r="EF17"/>
      <c r="EG17"/>
      <c r="EH17"/>
      <c r="EI17"/>
      <c r="EJ17"/>
      <c r="EK17"/>
      <c r="EL17"/>
      <c r="EM17"/>
      <c r="EN17"/>
      <c r="EO17"/>
      <c r="EP17"/>
      <c r="EQ17"/>
      <c r="ER17"/>
      <c r="ES17"/>
      <c r="ET17"/>
      <c r="EU17"/>
      <c r="EV17"/>
      <c r="EW17"/>
      <c r="EX17"/>
      <c r="EY17"/>
      <c r="EZ17"/>
      <c r="FA17"/>
      <c r="FB17"/>
      <c r="FC17"/>
      <c r="FD17"/>
      <c r="FE17"/>
      <c r="FF17"/>
      <c r="FG17"/>
      <c r="FH17"/>
      <c r="FI17"/>
      <c r="FJ17"/>
      <c r="FK17"/>
      <c r="FL17"/>
      <c r="FM17"/>
      <c r="FN17"/>
      <c r="FO17"/>
      <c r="FP17"/>
      <c r="FQ17"/>
      <c r="FR17"/>
      <c r="FS17"/>
      <c r="FT17"/>
      <c r="FU17"/>
      <c r="FV17"/>
      <c r="FW17"/>
      <c r="FX17"/>
      <c r="FY17"/>
      <c r="FZ17"/>
      <c r="GA17"/>
      <c r="GB17"/>
      <c r="GC17"/>
      <c r="GD17"/>
      <c r="GE17"/>
      <c r="GF17"/>
      <c r="GG17"/>
      <c r="GH17"/>
      <c r="GI17"/>
      <c r="GJ17"/>
      <c r="GK17"/>
      <c r="GL17"/>
      <c r="GM17"/>
      <c r="GN17"/>
      <c r="GO17"/>
      <c r="GP17"/>
      <c r="GQ17"/>
      <c r="GR17"/>
      <c r="GS17"/>
      <c r="GT17"/>
      <c r="GU17"/>
      <c r="GV17"/>
      <c r="GW17"/>
      <c r="GX17"/>
      <c r="GY17"/>
      <c r="GZ17"/>
      <c r="HA17"/>
      <c r="HB17"/>
      <c r="HC17"/>
      <c r="HD17"/>
      <c r="HE17"/>
      <c r="HF17"/>
      <c r="HG17"/>
      <c r="HH17"/>
      <c r="HI17"/>
      <c r="HJ17"/>
      <c r="HK17"/>
      <c r="HL17"/>
      <c r="HM17"/>
      <c r="HN17"/>
      <c r="HO17"/>
      <c r="HP17"/>
      <c r="HQ17"/>
      <c r="HR17"/>
      <c r="HS17"/>
      <c r="HT17"/>
      <c r="HU17"/>
      <c r="HV17"/>
      <c r="HW17"/>
      <c r="HX17"/>
      <c r="HY17"/>
      <c r="HZ17"/>
      <c r="IA17"/>
      <c r="IB17"/>
      <c r="IC17"/>
      <c r="ID17"/>
      <c r="IE17"/>
      <c r="IF17"/>
      <c r="IG17"/>
      <c r="IH17"/>
      <c r="II17"/>
      <c r="IJ17"/>
      <c r="IK17"/>
      <c r="IL17"/>
      <c r="IM17"/>
      <c r="IN17"/>
      <c r="IO17"/>
      <c r="IP17"/>
      <c r="IQ17"/>
      <c r="IR17"/>
      <c r="IS17"/>
      <c r="IT17"/>
      <c r="IU17"/>
    </row>
    <row r="18" spans="1:255" s="428" customFormat="1" x14ac:dyDescent="0.35">
      <c r="A18" s="116"/>
      <c r="B18" s="96"/>
      <c r="C18" s="471"/>
      <c r="D18" s="98"/>
      <c r="E18" s="98"/>
      <c r="F18" s="99"/>
      <c r="G18" s="213"/>
      <c r="H18" s="472"/>
      <c r="I18" s="401"/>
      <c r="J18" s="99"/>
      <c r="K18" s="98"/>
      <c r="L18" s="141"/>
      <c r="M18" s="98"/>
      <c r="N18" s="141"/>
      <c r="O18" s="98"/>
      <c r="P18" s="99"/>
      <c r="Q18" s="99"/>
      <c r="R18" s="100"/>
      <c r="S18" s="98"/>
      <c r="T18" s="481">
        <v>41609</v>
      </c>
      <c r="U18" s="481">
        <v>41973</v>
      </c>
      <c r="V18" s="482">
        <f t="shared" si="1"/>
        <v>12</v>
      </c>
      <c r="W18" s="483">
        <v>3.65</v>
      </c>
      <c r="X18" s="483"/>
      <c r="Y18" s="484"/>
      <c r="Z18" s="534">
        <v>0.18</v>
      </c>
      <c r="AA18" s="486">
        <f t="shared" si="2"/>
        <v>4.3069999999999995</v>
      </c>
      <c r="AB18" s="487">
        <v>1150000</v>
      </c>
      <c r="AC18" s="487">
        <f t="shared" si="3"/>
        <v>59436600</v>
      </c>
      <c r="AD18" s="226"/>
      <c r="AE18" s="99"/>
      <c r="AF18" s="99"/>
      <c r="AG18" s="98"/>
      <c r="AH18" s="99"/>
      <c r="AI18" s="98"/>
      <c r="AJ18" s="113"/>
      <c r="AK18" s="447"/>
      <c r="AL18" s="103"/>
      <c r="AM18" s="103"/>
      <c r="AN18" s="102"/>
      <c r="AO18"/>
      <c r="AP18"/>
      <c r="AQ18"/>
      <c r="AR18"/>
      <c r="AS18"/>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c r="CH18"/>
      <c r="CI18"/>
      <c r="CJ18"/>
      <c r="CK18"/>
      <c r="CL18"/>
      <c r="CM18"/>
      <c r="CN18"/>
      <c r="CO18"/>
      <c r="CP18"/>
      <c r="CQ18"/>
      <c r="CR18"/>
      <c r="CS18"/>
      <c r="CT18"/>
      <c r="CU18"/>
      <c r="CV18"/>
      <c r="CW18"/>
      <c r="CX18"/>
      <c r="CY18"/>
      <c r="CZ18"/>
      <c r="DA18"/>
      <c r="DB18"/>
      <c r="DC18"/>
      <c r="DD18"/>
      <c r="DE18"/>
      <c r="DF18"/>
      <c r="DG18"/>
      <c r="DH18"/>
      <c r="DI18"/>
      <c r="DJ18"/>
      <c r="DK18"/>
      <c r="DL18"/>
      <c r="DM18"/>
      <c r="DN18"/>
      <c r="DO18"/>
      <c r="DP18"/>
      <c r="DQ18"/>
      <c r="DR18"/>
      <c r="DS18"/>
      <c r="DT18"/>
      <c r="DU18"/>
      <c r="DV18"/>
      <c r="DW18"/>
      <c r="DX18"/>
      <c r="DY18"/>
      <c r="DZ18"/>
      <c r="EA18"/>
      <c r="EB18"/>
      <c r="EC18"/>
      <c r="ED18"/>
      <c r="EE18"/>
      <c r="EF18"/>
      <c r="EG18"/>
      <c r="EH18"/>
      <c r="EI18"/>
      <c r="EJ18"/>
      <c r="EK18"/>
      <c r="EL18"/>
      <c r="EM18"/>
      <c r="EN18"/>
      <c r="EO18"/>
      <c r="EP18"/>
      <c r="EQ18"/>
      <c r="ER18"/>
      <c r="ES18"/>
      <c r="ET18"/>
      <c r="EU18"/>
      <c r="EV18"/>
      <c r="EW18"/>
      <c r="EX18"/>
      <c r="EY18"/>
      <c r="EZ18"/>
      <c r="FA18"/>
      <c r="FB18"/>
      <c r="FC18"/>
      <c r="FD18"/>
      <c r="FE18"/>
      <c r="FF18"/>
      <c r="FG18"/>
      <c r="FH18"/>
      <c r="FI18"/>
      <c r="FJ18"/>
      <c r="FK18"/>
      <c r="FL18"/>
      <c r="FM18"/>
      <c r="FN18"/>
      <c r="FO18"/>
      <c r="FP18"/>
      <c r="FQ18"/>
      <c r="FR18"/>
      <c r="FS18"/>
      <c r="FT18"/>
      <c r="FU18"/>
      <c r="FV18"/>
      <c r="FW18"/>
      <c r="FX18"/>
      <c r="FY18"/>
      <c r="FZ18"/>
      <c r="GA18"/>
      <c r="GB18"/>
      <c r="GC18"/>
      <c r="GD18"/>
      <c r="GE18"/>
      <c r="GF18"/>
      <c r="GG18"/>
      <c r="GH18"/>
      <c r="GI18"/>
      <c r="GJ18"/>
      <c r="GK18"/>
      <c r="GL18"/>
      <c r="GM18"/>
      <c r="GN18"/>
      <c r="GO18"/>
      <c r="GP18"/>
      <c r="GQ18"/>
      <c r="GR18"/>
      <c r="GS18"/>
      <c r="GT18"/>
      <c r="GU18"/>
      <c r="GV18"/>
      <c r="GW18"/>
      <c r="GX18"/>
      <c r="GY18"/>
      <c r="GZ18"/>
      <c r="HA18"/>
      <c r="HB18"/>
      <c r="HC18"/>
      <c r="HD18"/>
      <c r="HE18"/>
      <c r="HF18"/>
      <c r="HG18"/>
      <c r="HH18"/>
      <c r="HI18"/>
      <c r="HJ18"/>
      <c r="HK18"/>
      <c r="HL18"/>
      <c r="HM18"/>
      <c r="HN18"/>
      <c r="HO18"/>
      <c r="HP18"/>
      <c r="HQ18"/>
      <c r="HR18"/>
      <c r="HS18"/>
      <c r="HT18"/>
      <c r="HU18"/>
      <c r="HV18"/>
      <c r="HW18"/>
      <c r="HX18"/>
      <c r="HY18"/>
      <c r="HZ18"/>
      <c r="IA18"/>
      <c r="IB18"/>
      <c r="IC18"/>
      <c r="ID18"/>
      <c r="IE18"/>
      <c r="IF18"/>
      <c r="IG18"/>
      <c r="IH18"/>
      <c r="II18"/>
      <c r="IJ18"/>
      <c r="IK18"/>
      <c r="IL18"/>
      <c r="IM18"/>
      <c r="IN18"/>
      <c r="IO18"/>
      <c r="IP18"/>
      <c r="IQ18"/>
      <c r="IR18"/>
      <c r="IS18"/>
      <c r="IT18"/>
      <c r="IU18"/>
    </row>
    <row r="19" spans="1:255" s="428" customFormat="1" x14ac:dyDescent="0.35">
      <c r="A19" s="116"/>
      <c r="B19" s="96"/>
      <c r="C19" s="471"/>
      <c r="D19" s="98"/>
      <c r="E19" s="98"/>
      <c r="F19" s="99"/>
      <c r="G19" s="213"/>
      <c r="H19" s="472"/>
      <c r="I19" s="401"/>
      <c r="J19" s="99"/>
      <c r="K19" s="98"/>
      <c r="L19" s="141"/>
      <c r="M19" s="98"/>
      <c r="N19" s="141"/>
      <c r="O19" s="98"/>
      <c r="P19" s="99"/>
      <c r="Q19" s="99"/>
      <c r="R19" s="100"/>
      <c r="S19" s="98"/>
      <c r="T19" s="481">
        <v>41974</v>
      </c>
      <c r="U19" s="481">
        <v>42004</v>
      </c>
      <c r="V19" s="482">
        <f t="shared" si="1"/>
        <v>1</v>
      </c>
      <c r="W19" s="483">
        <v>3.65</v>
      </c>
      <c r="X19" s="483"/>
      <c r="Y19" s="484"/>
      <c r="Z19" s="534">
        <v>0.19</v>
      </c>
      <c r="AA19" s="486">
        <f t="shared" si="2"/>
        <v>4.3434999999999997</v>
      </c>
      <c r="AB19" s="487">
        <v>1150000</v>
      </c>
      <c r="AC19" s="487">
        <f t="shared" si="3"/>
        <v>4995025</v>
      </c>
      <c r="AD19" s="226"/>
      <c r="AE19" s="99"/>
      <c r="AF19" s="99"/>
      <c r="AG19" s="98"/>
      <c r="AH19" s="99"/>
      <c r="AI19" s="98"/>
      <c r="AJ19" s="113"/>
      <c r="AK19" s="447"/>
      <c r="AL19" s="103"/>
      <c r="AM19" s="103"/>
      <c r="AN19" s="102"/>
      <c r="AO19"/>
      <c r="AP19"/>
      <c r="AQ19"/>
      <c r="AR19"/>
      <c r="AS19"/>
      <c r="AT19"/>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c r="CH19"/>
      <c r="CI19"/>
      <c r="CJ19"/>
      <c r="CK19"/>
      <c r="CL19"/>
      <c r="CM19"/>
      <c r="CN19"/>
      <c r="CO19"/>
      <c r="CP19"/>
      <c r="CQ19"/>
      <c r="CR19"/>
      <c r="CS19"/>
      <c r="CT19"/>
      <c r="CU19"/>
      <c r="CV19"/>
      <c r="CW19"/>
      <c r="CX19"/>
      <c r="CY19"/>
      <c r="CZ19"/>
      <c r="DA19"/>
      <c r="DB19"/>
      <c r="DC19"/>
      <c r="DD19"/>
      <c r="DE19"/>
      <c r="DF19"/>
      <c r="DG19"/>
      <c r="DH19"/>
      <c r="DI19"/>
      <c r="DJ19"/>
      <c r="DK19"/>
      <c r="DL19"/>
      <c r="DM19"/>
      <c r="DN19"/>
      <c r="DO19"/>
      <c r="DP19"/>
      <c r="DQ19"/>
      <c r="DR19"/>
      <c r="DS19"/>
      <c r="DT19"/>
      <c r="DU19"/>
      <c r="DV19"/>
      <c r="DW19"/>
      <c r="DX19"/>
      <c r="DY19"/>
      <c r="DZ19"/>
      <c r="EA19"/>
      <c r="EB19"/>
      <c r="EC19"/>
      <c r="ED19"/>
      <c r="EE19"/>
      <c r="EF19"/>
      <c r="EG19"/>
      <c r="EH19"/>
      <c r="EI19"/>
      <c r="EJ19"/>
      <c r="EK19"/>
      <c r="EL19"/>
      <c r="EM19"/>
      <c r="EN19"/>
      <c r="EO19"/>
      <c r="EP19"/>
      <c r="EQ19"/>
      <c r="ER19"/>
      <c r="ES19"/>
      <c r="ET19"/>
      <c r="EU19"/>
      <c r="EV19"/>
      <c r="EW19"/>
      <c r="EX19"/>
      <c r="EY19"/>
      <c r="EZ19"/>
      <c r="FA19"/>
      <c r="FB19"/>
      <c r="FC19"/>
      <c r="FD19"/>
      <c r="FE19"/>
      <c r="FF19"/>
      <c r="FG19"/>
      <c r="FH19"/>
      <c r="FI19"/>
      <c r="FJ19"/>
      <c r="FK19"/>
      <c r="FL19"/>
      <c r="FM19"/>
      <c r="FN19"/>
      <c r="FO19"/>
      <c r="FP19"/>
      <c r="FQ19"/>
      <c r="FR19"/>
      <c r="FS19"/>
      <c r="FT19"/>
      <c r="FU19"/>
      <c r="FV19"/>
      <c r="FW19"/>
      <c r="FX19"/>
      <c r="FY19"/>
      <c r="FZ19"/>
      <c r="GA19"/>
      <c r="GB19"/>
      <c r="GC19"/>
      <c r="GD19"/>
      <c r="GE19"/>
      <c r="GF19"/>
      <c r="GG19"/>
      <c r="GH19"/>
      <c r="GI19"/>
      <c r="GJ19"/>
      <c r="GK19"/>
      <c r="GL19"/>
      <c r="GM19"/>
      <c r="GN19"/>
      <c r="GO19"/>
      <c r="GP19"/>
      <c r="GQ19"/>
      <c r="GR19"/>
      <c r="GS19"/>
      <c r="GT19"/>
      <c r="GU19"/>
      <c r="GV19"/>
      <c r="GW19"/>
      <c r="GX19"/>
      <c r="GY19"/>
      <c r="GZ19"/>
      <c r="HA19"/>
      <c r="HB19"/>
      <c r="HC19"/>
      <c r="HD19"/>
      <c r="HE19"/>
      <c r="HF19"/>
      <c r="HG19"/>
      <c r="HH19"/>
      <c r="HI19"/>
      <c r="HJ19"/>
      <c r="HK19"/>
      <c r="HL19"/>
      <c r="HM19"/>
      <c r="HN19"/>
      <c r="HO19"/>
      <c r="HP19"/>
      <c r="HQ19"/>
      <c r="HR19"/>
      <c r="HS19"/>
      <c r="HT19"/>
      <c r="HU19"/>
      <c r="HV19"/>
      <c r="HW19"/>
      <c r="HX19"/>
      <c r="HY19"/>
      <c r="HZ19"/>
      <c r="IA19"/>
      <c r="IB19"/>
      <c r="IC19"/>
      <c r="ID19"/>
      <c r="IE19"/>
      <c r="IF19"/>
      <c r="IG19"/>
      <c r="IH19"/>
      <c r="II19"/>
      <c r="IJ19"/>
      <c r="IK19"/>
      <c r="IL19"/>
      <c r="IM19"/>
      <c r="IN19"/>
      <c r="IO19"/>
      <c r="IP19"/>
      <c r="IQ19"/>
      <c r="IR19"/>
      <c r="IS19"/>
      <c r="IT19"/>
      <c r="IU19"/>
    </row>
    <row r="20" spans="1:255" s="428" customFormat="1" x14ac:dyDescent="0.35">
      <c r="A20" s="116"/>
      <c r="B20" s="96"/>
      <c r="C20" s="471"/>
      <c r="D20" s="98"/>
      <c r="E20" s="98"/>
      <c r="F20" s="99"/>
      <c r="G20" s="213"/>
      <c r="H20" s="472"/>
      <c r="I20" s="401"/>
      <c r="J20" s="99"/>
      <c r="K20" s="98"/>
      <c r="L20" s="141"/>
      <c r="M20" s="98"/>
      <c r="N20" s="141"/>
      <c r="O20" s="98"/>
      <c r="P20" s="99"/>
      <c r="Q20" s="99"/>
      <c r="R20" s="100"/>
      <c r="S20" s="98"/>
      <c r="T20" s="481">
        <v>42005</v>
      </c>
      <c r="U20" s="481">
        <v>42338</v>
      </c>
      <c r="V20" s="482">
        <f t="shared" si="1"/>
        <v>11</v>
      </c>
      <c r="W20" s="483">
        <v>3.96</v>
      </c>
      <c r="X20" s="483"/>
      <c r="Y20" s="484"/>
      <c r="Z20" s="534">
        <v>0.19</v>
      </c>
      <c r="AA20" s="486">
        <f t="shared" si="2"/>
        <v>4.7123999999999997</v>
      </c>
      <c r="AB20" s="487">
        <v>1150000</v>
      </c>
      <c r="AC20" s="487">
        <f t="shared" si="3"/>
        <v>59611860</v>
      </c>
      <c r="AD20" s="226"/>
      <c r="AE20" s="99"/>
      <c r="AF20" s="99"/>
      <c r="AG20" s="98"/>
      <c r="AH20" s="99"/>
      <c r="AI20" s="98"/>
      <c r="AJ20" s="113"/>
      <c r="AK20" s="447"/>
      <c r="AL20" s="103"/>
      <c r="AM20" s="103"/>
      <c r="AN20" s="102"/>
      <c r="AO20"/>
      <c r="AP20"/>
      <c r="AQ20"/>
      <c r="AR20"/>
      <c r="AS20"/>
      <c r="AT20"/>
      <c r="AU20"/>
      <c r="AV20"/>
      <c r="AW20"/>
      <c r="AX20"/>
      <c r="AY20"/>
      <c r="AZ20"/>
      <c r="BA20"/>
      <c r="BB20"/>
      <c r="BC20"/>
      <c r="BD20"/>
      <c r="BE20"/>
      <c r="BF20"/>
      <c r="BG20"/>
      <c r="BH20"/>
      <c r="BI20"/>
      <c r="BJ20"/>
      <c r="BK20"/>
      <c r="BL20"/>
      <c r="BM20"/>
      <c r="BN20"/>
      <c r="BO20"/>
      <c r="BP20"/>
      <c r="BQ20"/>
      <c r="BR20"/>
      <c r="BS20"/>
      <c r="BT20"/>
      <c r="BU20"/>
      <c r="BV20"/>
      <c r="BW20"/>
      <c r="BX20"/>
      <c r="BY20"/>
      <c r="BZ20"/>
      <c r="CA20"/>
      <c r="CB20"/>
      <c r="CC20"/>
      <c r="CD20"/>
      <c r="CE20"/>
      <c r="CF20"/>
      <c r="CG20"/>
      <c r="CH20"/>
      <c r="CI20"/>
      <c r="CJ20"/>
      <c r="CK20"/>
      <c r="CL20"/>
      <c r="CM20"/>
      <c r="CN20"/>
      <c r="CO20"/>
      <c r="CP20"/>
      <c r="CQ20"/>
      <c r="CR20"/>
      <c r="CS20"/>
      <c r="CT20"/>
      <c r="CU20"/>
      <c r="CV20"/>
      <c r="CW20"/>
      <c r="CX20"/>
      <c r="CY20"/>
      <c r="CZ20"/>
      <c r="DA20"/>
      <c r="DB20"/>
      <c r="DC20"/>
      <c r="DD20"/>
      <c r="DE20"/>
      <c r="DF20"/>
      <c r="DG20"/>
      <c r="DH20"/>
      <c r="DI20"/>
      <c r="DJ20"/>
      <c r="DK20"/>
      <c r="DL20"/>
      <c r="DM20"/>
      <c r="DN20"/>
      <c r="DO20"/>
      <c r="DP20"/>
      <c r="DQ20"/>
      <c r="DR20"/>
      <c r="DS20"/>
      <c r="DT20"/>
      <c r="DU20"/>
      <c r="DV20"/>
      <c r="DW20"/>
      <c r="DX20"/>
      <c r="DY20"/>
      <c r="DZ20"/>
      <c r="EA20"/>
      <c r="EB20"/>
      <c r="EC20"/>
      <c r="ED20"/>
      <c r="EE20"/>
      <c r="EF20"/>
      <c r="EG20"/>
      <c r="EH20"/>
      <c r="EI20"/>
      <c r="EJ20"/>
      <c r="EK20"/>
      <c r="EL20"/>
      <c r="EM20"/>
      <c r="EN20"/>
      <c r="EO20"/>
      <c r="EP20"/>
      <c r="EQ20"/>
      <c r="ER20"/>
      <c r="ES20"/>
      <c r="ET20"/>
      <c r="EU20"/>
      <c r="EV20"/>
      <c r="EW20"/>
      <c r="EX20"/>
      <c r="EY20"/>
      <c r="EZ20"/>
      <c r="FA20"/>
      <c r="FB20"/>
      <c r="FC20"/>
      <c r="FD20"/>
      <c r="FE20"/>
      <c r="FF20"/>
      <c r="FG20"/>
      <c r="FH20"/>
      <c r="FI20"/>
      <c r="FJ20"/>
      <c r="FK20"/>
      <c r="FL20"/>
      <c r="FM20"/>
      <c r="FN20"/>
      <c r="FO20"/>
      <c r="FP20"/>
      <c r="FQ20"/>
      <c r="FR20"/>
      <c r="FS20"/>
      <c r="FT20"/>
      <c r="FU20"/>
      <c r="FV20"/>
      <c r="FW20"/>
      <c r="FX20"/>
      <c r="FY20"/>
      <c r="FZ20"/>
      <c r="GA20"/>
      <c r="GB20"/>
      <c r="GC20"/>
      <c r="GD20"/>
      <c r="GE20"/>
      <c r="GF20"/>
      <c r="GG20"/>
      <c r="GH20"/>
      <c r="GI20"/>
      <c r="GJ20"/>
      <c r="GK20"/>
      <c r="GL20"/>
      <c r="GM20"/>
      <c r="GN20"/>
      <c r="GO20"/>
      <c r="GP20"/>
      <c r="GQ20"/>
      <c r="GR20"/>
      <c r="GS20"/>
      <c r="GT20"/>
      <c r="GU20"/>
      <c r="GV20"/>
      <c r="GW20"/>
      <c r="GX20"/>
      <c r="GY20"/>
      <c r="GZ20"/>
      <c r="HA20"/>
      <c r="HB20"/>
      <c r="HC20"/>
      <c r="HD20"/>
      <c r="HE20"/>
      <c r="HF20"/>
      <c r="HG20"/>
      <c r="HH20"/>
      <c r="HI20"/>
      <c r="HJ20"/>
      <c r="HK20"/>
      <c r="HL20"/>
      <c r="HM20"/>
      <c r="HN20"/>
      <c r="HO20"/>
      <c r="HP20"/>
      <c r="HQ20"/>
      <c r="HR20"/>
      <c r="HS20"/>
      <c r="HT20"/>
      <c r="HU20"/>
      <c r="HV20"/>
      <c r="HW20"/>
      <c r="HX20"/>
      <c r="HY20"/>
      <c r="HZ20"/>
      <c r="IA20"/>
      <c r="IB20"/>
      <c r="IC20"/>
      <c r="ID20"/>
      <c r="IE20"/>
      <c r="IF20"/>
      <c r="IG20"/>
      <c r="IH20"/>
      <c r="II20"/>
      <c r="IJ20"/>
      <c r="IK20"/>
      <c r="IL20"/>
      <c r="IM20"/>
      <c r="IN20"/>
      <c r="IO20"/>
      <c r="IP20"/>
      <c r="IQ20"/>
      <c r="IR20"/>
      <c r="IS20"/>
      <c r="IT20"/>
      <c r="IU20"/>
    </row>
    <row r="21" spans="1:255" s="428" customFormat="1" x14ac:dyDescent="0.35">
      <c r="A21" s="116"/>
      <c r="B21" s="96"/>
      <c r="C21" s="471"/>
      <c r="D21" s="98"/>
      <c r="E21" s="98"/>
      <c r="F21" s="99"/>
      <c r="G21" s="213"/>
      <c r="H21" s="472"/>
      <c r="I21" s="401"/>
      <c r="J21" s="99"/>
      <c r="K21" s="98"/>
      <c r="L21" s="141"/>
      <c r="M21" s="98"/>
      <c r="N21" s="141"/>
      <c r="O21" s="98"/>
      <c r="P21" s="99"/>
      <c r="Q21" s="99"/>
      <c r="R21" s="100"/>
      <c r="S21" s="98"/>
      <c r="T21" s="481">
        <v>42339</v>
      </c>
      <c r="U21" s="481">
        <v>42490</v>
      </c>
      <c r="V21" s="482">
        <f t="shared" si="1"/>
        <v>5</v>
      </c>
      <c r="W21" s="483">
        <v>3.96</v>
      </c>
      <c r="X21" s="483"/>
      <c r="Y21" s="484"/>
      <c r="Z21" s="485">
        <v>0.2</v>
      </c>
      <c r="AA21" s="486">
        <f t="shared" si="2"/>
        <v>4.7519999999999998</v>
      </c>
      <c r="AB21" s="487">
        <v>1150000</v>
      </c>
      <c r="AC21" s="487">
        <f t="shared" si="3"/>
        <v>27323999.999999996</v>
      </c>
      <c r="AD21" s="226"/>
      <c r="AE21" s="99"/>
      <c r="AF21" s="99"/>
      <c r="AG21" s="98"/>
      <c r="AH21" s="99"/>
      <c r="AI21" s="98"/>
      <c r="AJ21" s="113"/>
      <c r="AK21" s="447"/>
      <c r="AL21" s="103"/>
      <c r="AM21" s="103"/>
      <c r="AN21" s="102"/>
      <c r="AO21"/>
      <c r="AP21"/>
      <c r="AQ21"/>
      <c r="AR21"/>
      <c r="AS21"/>
      <c r="AT21"/>
      <c r="AU21"/>
      <c r="AV21"/>
      <c r="AW21"/>
      <c r="AX21"/>
      <c r="AY21"/>
      <c r="AZ21"/>
      <c r="BA21"/>
      <c r="BB21"/>
      <c r="BC21"/>
      <c r="BD21"/>
      <c r="BE21"/>
      <c r="BF21"/>
      <c r="BG21"/>
      <c r="BH21"/>
      <c r="BI21"/>
      <c r="BJ21"/>
      <c r="BK21"/>
      <c r="BL21"/>
      <c r="BM21"/>
      <c r="BN21"/>
      <c r="BO21"/>
      <c r="BP21"/>
      <c r="BQ21"/>
      <c r="BR21"/>
      <c r="BS21"/>
      <c r="BT21"/>
      <c r="BU21"/>
      <c r="BV21"/>
      <c r="BW21"/>
      <c r="BX21"/>
      <c r="BY21"/>
      <c r="BZ21"/>
      <c r="CA21"/>
      <c r="CB21"/>
      <c r="CC21"/>
      <c r="CD21"/>
      <c r="CE21"/>
      <c r="CF21"/>
      <c r="CG21"/>
      <c r="CH21"/>
      <c r="CI21"/>
      <c r="CJ21"/>
      <c r="CK21"/>
      <c r="CL21"/>
      <c r="CM21"/>
      <c r="CN21"/>
      <c r="CO21"/>
      <c r="CP21"/>
      <c r="CQ21"/>
      <c r="CR21"/>
      <c r="CS21"/>
      <c r="CT21"/>
      <c r="CU21"/>
      <c r="CV21"/>
      <c r="CW21"/>
      <c r="CX21"/>
      <c r="CY21"/>
      <c r="CZ21"/>
      <c r="DA21"/>
      <c r="DB21"/>
      <c r="DC21"/>
      <c r="DD21"/>
      <c r="DE21"/>
      <c r="DF21"/>
      <c r="DG21"/>
      <c r="DH21"/>
      <c r="DI21"/>
      <c r="DJ21"/>
      <c r="DK21"/>
      <c r="DL21"/>
      <c r="DM21"/>
      <c r="DN21"/>
      <c r="DO21"/>
      <c r="DP21"/>
      <c r="DQ21"/>
      <c r="DR21"/>
      <c r="DS21"/>
      <c r="DT21"/>
      <c r="DU21"/>
      <c r="DV21"/>
      <c r="DW21"/>
      <c r="DX21"/>
      <c r="DY21"/>
      <c r="DZ21"/>
      <c r="EA21"/>
      <c r="EB21"/>
      <c r="EC21"/>
      <c r="ED21"/>
      <c r="EE21"/>
      <c r="EF21"/>
      <c r="EG21"/>
      <c r="EH21"/>
      <c r="EI21"/>
      <c r="EJ21"/>
      <c r="EK21"/>
      <c r="EL21"/>
      <c r="EM21"/>
      <c r="EN21"/>
      <c r="EO21"/>
      <c r="EP21"/>
      <c r="EQ21"/>
      <c r="ER21"/>
      <c r="ES21"/>
      <c r="ET21"/>
      <c r="EU21"/>
      <c r="EV21"/>
      <c r="EW21"/>
      <c r="EX21"/>
      <c r="EY21"/>
      <c r="EZ21"/>
      <c r="FA21"/>
      <c r="FB21"/>
      <c r="FC21"/>
      <c r="FD21"/>
      <c r="FE21"/>
      <c r="FF21"/>
      <c r="FG21"/>
      <c r="FH21"/>
      <c r="FI21"/>
      <c r="FJ21"/>
      <c r="FK21"/>
      <c r="FL21"/>
      <c r="FM21"/>
      <c r="FN21"/>
      <c r="FO21"/>
      <c r="FP21"/>
      <c r="FQ21"/>
      <c r="FR21"/>
      <c r="FS21"/>
      <c r="FT21"/>
      <c r="FU21"/>
      <c r="FV21"/>
      <c r="FW21"/>
      <c r="FX21"/>
      <c r="FY21"/>
      <c r="FZ21"/>
      <c r="GA21"/>
      <c r="GB21"/>
      <c r="GC21"/>
      <c r="GD21"/>
      <c r="GE21"/>
      <c r="GF21"/>
      <c r="GG21"/>
      <c r="GH21"/>
      <c r="GI21"/>
      <c r="GJ21"/>
      <c r="GK21"/>
      <c r="GL21"/>
      <c r="GM21"/>
      <c r="GN21"/>
      <c r="GO21"/>
      <c r="GP21"/>
      <c r="GQ21"/>
      <c r="GR21"/>
      <c r="GS21"/>
      <c r="GT21"/>
      <c r="GU21"/>
      <c r="GV21"/>
      <c r="GW21"/>
      <c r="GX21"/>
      <c r="GY21"/>
      <c r="GZ21"/>
      <c r="HA21"/>
      <c r="HB21"/>
      <c r="HC21"/>
      <c r="HD21"/>
      <c r="HE21"/>
      <c r="HF21"/>
      <c r="HG21"/>
      <c r="HH21"/>
      <c r="HI21"/>
      <c r="HJ21"/>
      <c r="HK21"/>
      <c r="HL21"/>
      <c r="HM21"/>
      <c r="HN21"/>
      <c r="HO21"/>
      <c r="HP21"/>
      <c r="HQ21"/>
      <c r="HR21"/>
      <c r="HS21"/>
      <c r="HT21"/>
      <c r="HU21"/>
      <c r="HV21"/>
      <c r="HW21"/>
      <c r="HX21"/>
      <c r="HY21"/>
      <c r="HZ21"/>
      <c r="IA21"/>
      <c r="IB21"/>
      <c r="IC21"/>
      <c r="ID21"/>
      <c r="IE21"/>
      <c r="IF21"/>
      <c r="IG21"/>
      <c r="IH21"/>
      <c r="II21"/>
      <c r="IJ21"/>
      <c r="IK21"/>
      <c r="IL21"/>
      <c r="IM21"/>
      <c r="IN21"/>
      <c r="IO21"/>
      <c r="IP21"/>
      <c r="IQ21"/>
      <c r="IR21"/>
      <c r="IS21"/>
      <c r="IT21"/>
      <c r="IU21"/>
    </row>
    <row r="22" spans="1:255" s="517" customFormat="1" x14ac:dyDescent="0.35">
      <c r="A22" s="496"/>
      <c r="B22" s="518"/>
      <c r="C22" s="519"/>
      <c r="D22" s="520"/>
      <c r="E22" s="520"/>
      <c r="F22" s="521"/>
      <c r="G22" s="522"/>
      <c r="H22" s="530"/>
      <c r="I22" s="531"/>
      <c r="J22" s="521"/>
      <c r="K22" s="520"/>
      <c r="L22" s="524"/>
      <c r="M22" s="520"/>
      <c r="N22" s="524"/>
      <c r="O22" s="520"/>
      <c r="P22" s="521"/>
      <c r="Q22" s="521"/>
      <c r="R22" s="523"/>
      <c r="S22" s="520"/>
      <c r="T22" s="505">
        <v>42491</v>
      </c>
      <c r="U22" s="505">
        <v>42704</v>
      </c>
      <c r="V22" s="506">
        <f t="shared" si="1"/>
        <v>7</v>
      </c>
      <c r="W22" s="507">
        <v>3.96</v>
      </c>
      <c r="X22" s="507"/>
      <c r="Y22" s="508"/>
      <c r="Z22" s="509">
        <v>0.2</v>
      </c>
      <c r="AA22" s="510">
        <f t="shared" si="2"/>
        <v>4.7519999999999998</v>
      </c>
      <c r="AB22" s="511">
        <v>1210000</v>
      </c>
      <c r="AC22" s="511">
        <f t="shared" si="3"/>
        <v>40249439.999999993</v>
      </c>
      <c r="AD22" s="525"/>
      <c r="AE22" s="521"/>
      <c r="AF22" s="521"/>
      <c r="AG22" s="520"/>
      <c r="AH22" s="521"/>
      <c r="AI22" s="520"/>
      <c r="AJ22" s="526"/>
      <c r="AK22" s="527"/>
      <c r="AL22" s="528"/>
      <c r="AM22" s="528"/>
      <c r="AN22" s="529"/>
      <c r="AO22" s="516"/>
      <c r="AP22" s="516"/>
      <c r="AQ22" s="516"/>
      <c r="AR22" s="516"/>
      <c r="AS22" s="516"/>
      <c r="AT22" s="516"/>
      <c r="AU22" s="516"/>
      <c r="AV22" s="516"/>
      <c r="AW22" s="516"/>
      <c r="AX22" s="516"/>
      <c r="AY22" s="516"/>
      <c r="AZ22" s="516"/>
      <c r="BA22" s="516"/>
      <c r="BB22" s="516"/>
      <c r="BC22" s="516"/>
      <c r="BD22" s="516"/>
      <c r="BE22" s="516"/>
      <c r="BF22" s="516"/>
      <c r="BG22" s="516"/>
      <c r="BH22" s="516"/>
      <c r="BI22" s="516"/>
      <c r="BJ22" s="516"/>
      <c r="BK22" s="516"/>
      <c r="BL22" s="516"/>
      <c r="BM22" s="516"/>
      <c r="BN22" s="516"/>
      <c r="BO22" s="516"/>
      <c r="BP22" s="516"/>
      <c r="BQ22" s="516"/>
      <c r="BR22" s="516"/>
      <c r="BS22" s="516"/>
      <c r="BT22" s="516"/>
      <c r="BU22" s="516"/>
      <c r="BV22" s="516"/>
      <c r="BW22" s="516"/>
      <c r="BX22" s="516"/>
      <c r="BY22" s="516"/>
      <c r="BZ22" s="516"/>
      <c r="CA22" s="516"/>
      <c r="CB22" s="516"/>
      <c r="CC22" s="516"/>
      <c r="CD22" s="516"/>
      <c r="CE22" s="516"/>
      <c r="CF22" s="516"/>
      <c r="CG22" s="516"/>
      <c r="CH22" s="516"/>
      <c r="CI22" s="516"/>
      <c r="CJ22" s="516"/>
      <c r="CK22" s="516"/>
      <c r="CL22" s="516"/>
      <c r="CM22" s="516"/>
      <c r="CN22" s="516"/>
      <c r="CO22" s="516"/>
      <c r="CP22" s="516"/>
      <c r="CQ22" s="516"/>
      <c r="CR22" s="516"/>
      <c r="CS22" s="516"/>
      <c r="CT22" s="516"/>
      <c r="CU22" s="516"/>
      <c r="CV22" s="516"/>
      <c r="CW22" s="516"/>
      <c r="CX22" s="516"/>
      <c r="CY22" s="516"/>
      <c r="CZ22" s="516"/>
      <c r="DA22" s="516"/>
      <c r="DB22" s="516"/>
      <c r="DC22" s="516"/>
      <c r="DD22" s="516"/>
      <c r="DE22" s="516"/>
      <c r="DF22" s="516"/>
      <c r="DG22" s="516"/>
      <c r="DH22" s="516"/>
      <c r="DI22" s="516"/>
      <c r="DJ22" s="516"/>
      <c r="DK22" s="516"/>
      <c r="DL22" s="516"/>
      <c r="DM22" s="516"/>
      <c r="DN22" s="516"/>
      <c r="DO22" s="516"/>
      <c r="DP22" s="516"/>
      <c r="DQ22" s="516"/>
      <c r="DR22" s="516"/>
      <c r="DS22" s="516"/>
      <c r="DT22" s="516"/>
      <c r="DU22" s="516"/>
      <c r="DV22" s="516"/>
      <c r="DW22" s="516"/>
      <c r="DX22" s="516"/>
      <c r="DY22" s="516"/>
      <c r="DZ22" s="516"/>
      <c r="EA22" s="516"/>
      <c r="EB22" s="516"/>
      <c r="EC22" s="516"/>
      <c r="ED22" s="516"/>
      <c r="EE22" s="516"/>
      <c r="EF22" s="516"/>
      <c r="EG22" s="516"/>
      <c r="EH22" s="516"/>
      <c r="EI22" s="516"/>
      <c r="EJ22" s="516"/>
      <c r="EK22" s="516"/>
      <c r="EL22" s="516"/>
      <c r="EM22" s="516"/>
      <c r="EN22" s="516"/>
      <c r="EO22" s="516"/>
      <c r="EP22" s="516"/>
      <c r="EQ22" s="516"/>
      <c r="ER22" s="516"/>
      <c r="ES22" s="516"/>
      <c r="ET22" s="516"/>
      <c r="EU22" s="516"/>
      <c r="EV22" s="516"/>
      <c r="EW22" s="516"/>
      <c r="EX22" s="516"/>
      <c r="EY22" s="516"/>
      <c r="EZ22" s="516"/>
      <c r="FA22" s="516"/>
      <c r="FB22" s="516"/>
      <c r="FC22" s="516"/>
      <c r="FD22" s="516"/>
      <c r="FE22" s="516"/>
      <c r="FF22" s="516"/>
      <c r="FG22" s="516"/>
      <c r="FH22" s="516"/>
      <c r="FI22" s="516"/>
      <c r="FJ22" s="516"/>
      <c r="FK22" s="516"/>
      <c r="FL22" s="516"/>
      <c r="FM22" s="516"/>
      <c r="FN22" s="516"/>
      <c r="FO22" s="516"/>
      <c r="FP22" s="516"/>
      <c r="FQ22" s="516"/>
      <c r="FR22" s="516"/>
      <c r="FS22" s="516"/>
      <c r="FT22" s="516"/>
      <c r="FU22" s="516"/>
      <c r="FV22" s="516"/>
      <c r="FW22" s="516"/>
      <c r="FX22" s="516"/>
      <c r="FY22" s="516"/>
      <c r="FZ22" s="516"/>
      <c r="GA22" s="516"/>
      <c r="GB22" s="516"/>
      <c r="GC22" s="516"/>
      <c r="GD22" s="516"/>
      <c r="GE22" s="516"/>
      <c r="GF22" s="516"/>
      <c r="GG22" s="516"/>
      <c r="GH22" s="516"/>
      <c r="GI22" s="516"/>
      <c r="GJ22" s="516"/>
      <c r="GK22" s="516"/>
      <c r="GL22" s="516"/>
      <c r="GM22" s="516"/>
      <c r="GN22" s="516"/>
      <c r="GO22" s="516"/>
      <c r="GP22" s="516"/>
      <c r="GQ22" s="516"/>
      <c r="GR22" s="516"/>
      <c r="GS22" s="516"/>
      <c r="GT22" s="516"/>
      <c r="GU22" s="516"/>
      <c r="GV22" s="516"/>
      <c r="GW22" s="516"/>
      <c r="GX22" s="516"/>
      <c r="GY22" s="516"/>
      <c r="GZ22" s="516"/>
      <c r="HA22" s="516"/>
      <c r="HB22" s="516"/>
      <c r="HC22" s="516"/>
      <c r="HD22" s="516"/>
      <c r="HE22" s="516"/>
      <c r="HF22" s="516"/>
      <c r="HG22" s="516"/>
      <c r="HH22" s="516"/>
      <c r="HI22" s="516"/>
      <c r="HJ22" s="516"/>
      <c r="HK22" s="516"/>
      <c r="HL22" s="516"/>
      <c r="HM22" s="516"/>
      <c r="HN22" s="516"/>
      <c r="HO22" s="516"/>
      <c r="HP22" s="516"/>
      <c r="HQ22" s="516"/>
      <c r="HR22" s="516"/>
      <c r="HS22" s="516"/>
      <c r="HT22" s="516"/>
      <c r="HU22" s="516"/>
      <c r="HV22" s="516"/>
      <c r="HW22" s="516"/>
      <c r="HX22" s="516"/>
      <c r="HY22" s="516"/>
      <c r="HZ22" s="516"/>
      <c r="IA22" s="516"/>
      <c r="IB22" s="516"/>
      <c r="IC22" s="516"/>
      <c r="ID22" s="516"/>
      <c r="IE22" s="516"/>
      <c r="IF22" s="516"/>
      <c r="IG22" s="516"/>
      <c r="IH22" s="516"/>
      <c r="II22" s="516"/>
      <c r="IJ22" s="516"/>
      <c r="IK22" s="516"/>
      <c r="IL22" s="516"/>
      <c r="IM22" s="516"/>
      <c r="IN22" s="516"/>
      <c r="IO22" s="516"/>
      <c r="IP22" s="516"/>
      <c r="IQ22" s="516"/>
      <c r="IR22" s="516"/>
      <c r="IS22" s="516"/>
      <c r="IT22" s="516"/>
      <c r="IU22" s="516"/>
    </row>
    <row r="23" spans="1:255" s="428" customFormat="1" x14ac:dyDescent="0.35">
      <c r="A23" s="116"/>
      <c r="B23" s="79"/>
      <c r="C23" s="267"/>
      <c r="D23" s="81"/>
      <c r="E23" s="81"/>
      <c r="F23" s="429"/>
      <c r="G23" s="430"/>
      <c r="H23" s="431"/>
      <c r="I23" s="432"/>
      <c r="J23" s="433"/>
      <c r="K23" s="432"/>
      <c r="L23" s="433"/>
      <c r="M23" s="433"/>
      <c r="N23" s="434"/>
      <c r="O23" s="432"/>
      <c r="P23" s="433"/>
      <c r="Q23" s="433"/>
      <c r="R23" s="431"/>
      <c r="S23" s="432"/>
      <c r="T23" s="481">
        <v>42705</v>
      </c>
      <c r="U23" s="481">
        <v>42916</v>
      </c>
      <c r="V23" s="482">
        <f t="shared" si="1"/>
        <v>7</v>
      </c>
      <c r="W23" s="483">
        <v>3.96</v>
      </c>
      <c r="X23" s="483"/>
      <c r="Y23" s="484"/>
      <c r="Z23" s="485">
        <v>0.21</v>
      </c>
      <c r="AA23" s="486">
        <f t="shared" si="2"/>
        <v>4.7915999999999999</v>
      </c>
      <c r="AB23" s="487">
        <v>1210000</v>
      </c>
      <c r="AC23" s="487">
        <f t="shared" si="3"/>
        <v>40584851.999999993</v>
      </c>
      <c r="AD23" s="85"/>
      <c r="AE23" s="82"/>
      <c r="AF23" s="82"/>
      <c r="AG23" s="81"/>
      <c r="AH23" s="82"/>
      <c r="AI23" s="81"/>
      <c r="AJ23" s="86"/>
      <c r="AK23" s="195"/>
      <c r="AL23" s="87"/>
      <c r="AM23" s="85"/>
      <c r="AN23" s="87"/>
      <c r="AO23"/>
      <c r="AP23"/>
      <c r="AQ23"/>
      <c r="AR23"/>
      <c r="AS23"/>
      <c r="AT23"/>
      <c r="AU23"/>
      <c r="AV23"/>
      <c r="AW23"/>
      <c r="AX23"/>
      <c r="AY23"/>
      <c r="AZ23"/>
      <c r="BA23"/>
      <c r="BB23"/>
      <c r="BC23"/>
      <c r="BD23"/>
      <c r="BE23"/>
      <c r="BF23"/>
      <c r="BG23"/>
      <c r="BH23"/>
      <c r="BI23"/>
      <c r="BJ23"/>
      <c r="BK23"/>
      <c r="BL23"/>
      <c r="BM23"/>
      <c r="BN23"/>
      <c r="BO23"/>
      <c r="BP23"/>
      <c r="BQ23"/>
      <c r="BR23"/>
      <c r="BS23"/>
      <c r="BT23"/>
      <c r="BU23"/>
      <c r="BV23"/>
      <c r="BW23"/>
      <c r="BX23"/>
      <c r="BY23"/>
      <c r="BZ23"/>
      <c r="CA23"/>
      <c r="CB23"/>
      <c r="CC23"/>
      <c r="CD23"/>
      <c r="CE23"/>
      <c r="CF23"/>
      <c r="CG23"/>
      <c r="CH23"/>
      <c r="CI23"/>
      <c r="CJ23"/>
      <c r="CK23"/>
      <c r="CL23"/>
      <c r="CM23"/>
      <c r="CN23"/>
      <c r="CO23"/>
      <c r="CP23"/>
      <c r="CQ23"/>
      <c r="CR23"/>
      <c r="CS23"/>
      <c r="CT23"/>
      <c r="CU23"/>
      <c r="CV23"/>
      <c r="CW23"/>
      <c r="CX23"/>
      <c r="CY23"/>
      <c r="CZ23"/>
      <c r="DA23"/>
      <c r="DB23"/>
      <c r="DC23"/>
      <c r="DD23"/>
      <c r="DE23"/>
      <c r="DF23"/>
      <c r="DG23"/>
      <c r="DH23"/>
      <c r="DI23"/>
      <c r="DJ23"/>
      <c r="DK23"/>
      <c r="DL23"/>
      <c r="DM23"/>
      <c r="DN23"/>
      <c r="DO23"/>
      <c r="DP23"/>
      <c r="DQ23"/>
      <c r="DR23"/>
      <c r="DS23"/>
      <c r="DT23"/>
      <c r="DU23"/>
      <c r="DV23"/>
      <c r="DW23"/>
      <c r="DX23"/>
      <c r="DY23"/>
      <c r="DZ23"/>
      <c r="EA23"/>
      <c r="EB23"/>
      <c r="EC23"/>
      <c r="ED23"/>
      <c r="EE23"/>
      <c r="EF23"/>
      <c r="EG23"/>
      <c r="EH23"/>
      <c r="EI23"/>
      <c r="EJ23"/>
      <c r="EK23"/>
      <c r="EL23"/>
      <c r="EM23"/>
      <c r="EN23"/>
      <c r="EO23"/>
      <c r="EP23"/>
      <c r="EQ23"/>
      <c r="ER23"/>
      <c r="ES23"/>
      <c r="ET23"/>
      <c r="EU23"/>
      <c r="EV23"/>
      <c r="EW23"/>
      <c r="EX23"/>
      <c r="EY23"/>
      <c r="EZ23"/>
      <c r="FA23"/>
      <c r="FB23"/>
      <c r="FC23"/>
      <c r="FD23"/>
      <c r="FE23"/>
      <c r="FF23"/>
      <c r="FG23"/>
      <c r="FH23"/>
      <c r="FI23"/>
      <c r="FJ23"/>
      <c r="FK23"/>
      <c r="FL23"/>
      <c r="FM23"/>
      <c r="FN23"/>
      <c r="FO23"/>
      <c r="FP23"/>
      <c r="FQ23"/>
      <c r="FR23"/>
      <c r="FS23"/>
      <c r="FT23"/>
      <c r="FU23"/>
      <c r="FV23"/>
      <c r="FW23"/>
      <c r="FX23"/>
      <c r="FY23"/>
      <c r="FZ23"/>
      <c r="GA23"/>
      <c r="GB23"/>
      <c r="GC23"/>
      <c r="GD23"/>
      <c r="GE23"/>
      <c r="GF23"/>
      <c r="GG23"/>
      <c r="GH23"/>
      <c r="GI23"/>
      <c r="GJ23"/>
      <c r="GK23"/>
      <c r="GL23"/>
      <c r="GM23"/>
      <c r="GN23"/>
      <c r="GO23"/>
      <c r="GP23"/>
      <c r="GQ23"/>
      <c r="GR23"/>
      <c r="GS23"/>
      <c r="GT23"/>
      <c r="GU23"/>
      <c r="GV23"/>
      <c r="GW23"/>
      <c r="GX23"/>
      <c r="GY23"/>
      <c r="GZ23"/>
      <c r="HA23"/>
      <c r="HB23"/>
      <c r="HC23"/>
      <c r="HD23"/>
      <c r="HE23"/>
      <c r="HF23"/>
      <c r="HG23"/>
      <c r="HH23"/>
      <c r="HI23"/>
      <c r="HJ23"/>
      <c r="HK23"/>
      <c r="HL23"/>
      <c r="HM23"/>
      <c r="HN23"/>
      <c r="HO23"/>
      <c r="HP23"/>
      <c r="HQ23"/>
      <c r="HR23"/>
      <c r="HS23"/>
      <c r="HT23"/>
      <c r="HU23"/>
      <c r="HV23"/>
      <c r="HW23"/>
      <c r="HX23"/>
      <c r="HY23"/>
      <c r="HZ23"/>
      <c r="IA23"/>
      <c r="IB23"/>
      <c r="IC23"/>
      <c r="ID23"/>
      <c r="IE23"/>
      <c r="IF23"/>
      <c r="IG23"/>
      <c r="IH23"/>
      <c r="II23"/>
      <c r="IJ23"/>
      <c r="IK23"/>
      <c r="IL23"/>
      <c r="IM23"/>
      <c r="IN23"/>
      <c r="IO23"/>
      <c r="IP23"/>
      <c r="IQ23"/>
      <c r="IR23"/>
      <c r="IS23"/>
      <c r="IT23"/>
      <c r="IU23"/>
    </row>
    <row r="24" spans="1:255" s="517" customFormat="1" x14ac:dyDescent="0.35">
      <c r="A24" s="496"/>
      <c r="B24" s="497"/>
      <c r="C24" s="498"/>
      <c r="D24" s="499"/>
      <c r="E24" s="499"/>
      <c r="F24" s="500"/>
      <c r="G24" s="501"/>
      <c r="H24" s="502"/>
      <c r="I24" s="499"/>
      <c r="J24" s="503"/>
      <c r="K24" s="499"/>
      <c r="L24" s="503"/>
      <c r="M24" s="503"/>
      <c r="N24" s="504"/>
      <c r="O24" s="499"/>
      <c r="P24" s="503"/>
      <c r="Q24" s="503"/>
      <c r="R24" s="502"/>
      <c r="S24" s="499"/>
      <c r="T24" s="505">
        <v>42917</v>
      </c>
      <c r="U24" s="505">
        <v>43069</v>
      </c>
      <c r="V24" s="506">
        <f t="shared" si="1"/>
        <v>5</v>
      </c>
      <c r="W24" s="507">
        <v>3.96</v>
      </c>
      <c r="X24" s="507"/>
      <c r="Y24" s="508"/>
      <c r="Z24" s="509">
        <v>0.21</v>
      </c>
      <c r="AA24" s="510">
        <f t="shared" si="2"/>
        <v>4.7915999999999999</v>
      </c>
      <c r="AB24" s="511">
        <v>1300000</v>
      </c>
      <c r="AC24" s="511">
        <f t="shared" si="3"/>
        <v>31145399.999999996</v>
      </c>
      <c r="AD24" s="512"/>
      <c r="AE24" s="503"/>
      <c r="AF24" s="503"/>
      <c r="AG24" s="499"/>
      <c r="AH24" s="503"/>
      <c r="AI24" s="499"/>
      <c r="AJ24" s="513"/>
      <c r="AK24" s="514"/>
      <c r="AL24" s="515"/>
      <c r="AM24" s="512"/>
      <c r="AN24" s="515"/>
      <c r="AO24" s="516"/>
      <c r="AP24" s="516"/>
      <c r="AQ24" s="516"/>
      <c r="AR24" s="516"/>
      <c r="AS24" s="516"/>
      <c r="AT24" s="516"/>
      <c r="AU24" s="516"/>
      <c r="AV24" s="516"/>
      <c r="AW24" s="516"/>
      <c r="AX24" s="516"/>
      <c r="AY24" s="516"/>
      <c r="AZ24" s="516"/>
      <c r="BA24" s="516"/>
      <c r="BB24" s="516"/>
      <c r="BC24" s="516"/>
      <c r="BD24" s="516"/>
      <c r="BE24" s="516"/>
      <c r="BF24" s="516"/>
      <c r="BG24" s="516"/>
      <c r="BH24" s="516"/>
      <c r="BI24" s="516"/>
      <c r="BJ24" s="516"/>
      <c r="BK24" s="516"/>
      <c r="BL24" s="516"/>
      <c r="BM24" s="516"/>
      <c r="BN24" s="516"/>
      <c r="BO24" s="516"/>
      <c r="BP24" s="516"/>
      <c r="BQ24" s="516"/>
      <c r="BR24" s="516"/>
      <c r="BS24" s="516"/>
      <c r="BT24" s="516"/>
      <c r="BU24" s="516"/>
      <c r="BV24" s="516"/>
      <c r="BW24" s="516"/>
      <c r="BX24" s="516"/>
      <c r="BY24" s="516"/>
      <c r="BZ24" s="516"/>
      <c r="CA24" s="516"/>
      <c r="CB24" s="516"/>
      <c r="CC24" s="516"/>
      <c r="CD24" s="516"/>
      <c r="CE24" s="516"/>
      <c r="CF24" s="516"/>
      <c r="CG24" s="516"/>
      <c r="CH24" s="516"/>
      <c r="CI24" s="516"/>
      <c r="CJ24" s="516"/>
      <c r="CK24" s="516"/>
      <c r="CL24" s="516"/>
      <c r="CM24" s="516"/>
      <c r="CN24" s="516"/>
      <c r="CO24" s="516"/>
      <c r="CP24" s="516"/>
      <c r="CQ24" s="516"/>
      <c r="CR24" s="516"/>
      <c r="CS24" s="516"/>
      <c r="CT24" s="516"/>
      <c r="CU24" s="516"/>
      <c r="CV24" s="516"/>
      <c r="CW24" s="516"/>
      <c r="CX24" s="516"/>
      <c r="CY24" s="516"/>
      <c r="CZ24" s="516"/>
      <c r="DA24" s="516"/>
      <c r="DB24" s="516"/>
      <c r="DC24" s="516"/>
      <c r="DD24" s="516"/>
      <c r="DE24" s="516"/>
      <c r="DF24" s="516"/>
      <c r="DG24" s="516"/>
      <c r="DH24" s="516"/>
      <c r="DI24" s="516"/>
      <c r="DJ24" s="516"/>
      <c r="DK24" s="516"/>
      <c r="DL24" s="516"/>
      <c r="DM24" s="516"/>
      <c r="DN24" s="516"/>
      <c r="DO24" s="516"/>
      <c r="DP24" s="516"/>
      <c r="DQ24" s="516"/>
      <c r="DR24" s="516"/>
      <c r="DS24" s="516"/>
      <c r="DT24" s="516"/>
      <c r="DU24" s="516"/>
      <c r="DV24" s="516"/>
      <c r="DW24" s="516"/>
      <c r="DX24" s="516"/>
      <c r="DY24" s="516"/>
      <c r="DZ24" s="516"/>
      <c r="EA24" s="516"/>
      <c r="EB24" s="516"/>
      <c r="EC24" s="516"/>
      <c r="ED24" s="516"/>
      <c r="EE24" s="516"/>
      <c r="EF24" s="516"/>
      <c r="EG24" s="516"/>
      <c r="EH24" s="516"/>
      <c r="EI24" s="516"/>
      <c r="EJ24" s="516"/>
      <c r="EK24" s="516"/>
      <c r="EL24" s="516"/>
      <c r="EM24" s="516"/>
      <c r="EN24" s="516"/>
      <c r="EO24" s="516"/>
      <c r="EP24" s="516"/>
      <c r="EQ24" s="516"/>
      <c r="ER24" s="516"/>
      <c r="ES24" s="516"/>
      <c r="ET24" s="516"/>
      <c r="EU24" s="516"/>
      <c r="EV24" s="516"/>
      <c r="EW24" s="516"/>
      <c r="EX24" s="516"/>
      <c r="EY24" s="516"/>
      <c r="EZ24" s="516"/>
      <c r="FA24" s="516"/>
      <c r="FB24" s="516"/>
      <c r="FC24" s="516"/>
      <c r="FD24" s="516"/>
      <c r="FE24" s="516"/>
      <c r="FF24" s="516"/>
      <c r="FG24" s="516"/>
      <c r="FH24" s="516"/>
      <c r="FI24" s="516"/>
      <c r="FJ24" s="516"/>
      <c r="FK24" s="516"/>
      <c r="FL24" s="516"/>
      <c r="FM24" s="516"/>
      <c r="FN24" s="516"/>
      <c r="FO24" s="516"/>
      <c r="FP24" s="516"/>
      <c r="FQ24" s="516"/>
      <c r="FR24" s="516"/>
      <c r="FS24" s="516"/>
      <c r="FT24" s="516"/>
      <c r="FU24" s="516"/>
      <c r="FV24" s="516"/>
      <c r="FW24" s="516"/>
      <c r="FX24" s="516"/>
      <c r="FY24" s="516"/>
      <c r="FZ24" s="516"/>
      <c r="GA24" s="516"/>
      <c r="GB24" s="516"/>
      <c r="GC24" s="516"/>
      <c r="GD24" s="516"/>
      <c r="GE24" s="516"/>
      <c r="GF24" s="516"/>
      <c r="GG24" s="516"/>
      <c r="GH24" s="516"/>
      <c r="GI24" s="516"/>
      <c r="GJ24" s="516"/>
      <c r="GK24" s="516"/>
      <c r="GL24" s="516"/>
      <c r="GM24" s="516"/>
      <c r="GN24" s="516"/>
      <c r="GO24" s="516"/>
      <c r="GP24" s="516"/>
      <c r="GQ24" s="516"/>
      <c r="GR24" s="516"/>
      <c r="GS24" s="516"/>
      <c r="GT24" s="516"/>
      <c r="GU24" s="516"/>
      <c r="GV24" s="516"/>
      <c r="GW24" s="516"/>
      <c r="GX24" s="516"/>
      <c r="GY24" s="516"/>
      <c r="GZ24" s="516"/>
      <c r="HA24" s="516"/>
      <c r="HB24" s="516"/>
      <c r="HC24" s="516"/>
      <c r="HD24" s="516"/>
      <c r="HE24" s="516"/>
      <c r="HF24" s="516"/>
      <c r="HG24" s="516"/>
      <c r="HH24" s="516"/>
      <c r="HI24" s="516"/>
      <c r="HJ24" s="516"/>
      <c r="HK24" s="516"/>
      <c r="HL24" s="516"/>
      <c r="HM24" s="516"/>
      <c r="HN24" s="516"/>
      <c r="HO24" s="516"/>
      <c r="HP24" s="516"/>
      <c r="HQ24" s="516"/>
      <c r="HR24" s="516"/>
      <c r="HS24" s="516"/>
      <c r="HT24" s="516"/>
      <c r="HU24" s="516"/>
      <c r="HV24" s="516"/>
      <c r="HW24" s="516"/>
      <c r="HX24" s="516"/>
      <c r="HY24" s="516"/>
      <c r="HZ24" s="516"/>
      <c r="IA24" s="516"/>
      <c r="IB24" s="516"/>
      <c r="IC24" s="516"/>
      <c r="ID24" s="516"/>
      <c r="IE24" s="516"/>
      <c r="IF24" s="516"/>
      <c r="IG24" s="516"/>
      <c r="IH24" s="516"/>
      <c r="II24" s="516"/>
      <c r="IJ24" s="516"/>
      <c r="IK24" s="516"/>
      <c r="IL24" s="516"/>
      <c r="IM24" s="516"/>
      <c r="IN24" s="516"/>
      <c r="IO24" s="516"/>
      <c r="IP24" s="516"/>
      <c r="IQ24" s="516"/>
      <c r="IR24" s="516"/>
      <c r="IS24" s="516"/>
      <c r="IT24" s="516"/>
      <c r="IU24" s="516"/>
    </row>
    <row r="25" spans="1:255" s="428" customFormat="1" x14ac:dyDescent="0.35">
      <c r="A25" s="116"/>
      <c r="B25" s="79"/>
      <c r="C25" s="267"/>
      <c r="D25" s="81"/>
      <c r="E25" s="81"/>
      <c r="F25" s="429"/>
      <c r="G25" s="430"/>
      <c r="H25" s="431"/>
      <c r="I25" s="432"/>
      <c r="J25" s="433"/>
      <c r="K25" s="432"/>
      <c r="L25" s="433"/>
      <c r="M25" s="433"/>
      <c r="N25" s="434"/>
      <c r="O25" s="432"/>
      <c r="P25" s="433"/>
      <c r="Q25" s="433"/>
      <c r="R25" s="431"/>
      <c r="S25" s="432"/>
      <c r="T25" s="493">
        <v>43070</v>
      </c>
      <c r="U25" s="481">
        <v>43100</v>
      </c>
      <c r="V25" s="482">
        <f t="shared" si="1"/>
        <v>1</v>
      </c>
      <c r="W25" s="483">
        <v>3.96</v>
      </c>
      <c r="X25" s="483"/>
      <c r="Y25" s="484"/>
      <c r="Z25" s="485">
        <v>0.22</v>
      </c>
      <c r="AA25" s="486">
        <f t="shared" si="2"/>
        <v>4.8311999999999999</v>
      </c>
      <c r="AB25" s="487">
        <v>1300000</v>
      </c>
      <c r="AC25" s="487">
        <f t="shared" si="3"/>
        <v>6280560</v>
      </c>
      <c r="AD25" s="85"/>
      <c r="AE25" s="82"/>
      <c r="AF25" s="82"/>
      <c r="AG25" s="81"/>
      <c r="AH25" s="82"/>
      <c r="AI25" s="81"/>
      <c r="AJ25" s="86"/>
      <c r="AK25" s="195"/>
      <c r="AL25" s="87"/>
      <c r="AM25" s="85"/>
      <c r="AN25" s="87"/>
      <c r="AO25"/>
      <c r="AP25"/>
      <c r="AQ25"/>
      <c r="AR25"/>
      <c r="AS25"/>
      <c r="AT25"/>
      <c r="AU25"/>
      <c r="AV25"/>
      <c r="AW25"/>
      <c r="AX25"/>
      <c r="AY25"/>
      <c r="AZ25"/>
      <c r="BA25"/>
      <c r="BB25"/>
      <c r="BC25"/>
      <c r="BD25"/>
      <c r="BE25"/>
      <c r="BF25"/>
      <c r="BG25"/>
      <c r="BH25"/>
      <c r="BI25"/>
      <c r="BJ25"/>
      <c r="BK25"/>
      <c r="BL25"/>
      <c r="BM25"/>
      <c r="BN25"/>
      <c r="BO25"/>
      <c r="BP25"/>
      <c r="BQ25"/>
      <c r="BR25"/>
      <c r="BS25"/>
      <c r="BT25"/>
      <c r="BU25"/>
      <c r="BV25"/>
      <c r="BW25"/>
      <c r="BX25"/>
      <c r="BY25"/>
      <c r="BZ25"/>
      <c r="CA25"/>
      <c r="CB25"/>
      <c r="CC25"/>
      <c r="CD25"/>
      <c r="CE25"/>
      <c r="CF25"/>
      <c r="CG25"/>
      <c r="CH25"/>
      <c r="CI25"/>
      <c r="CJ25"/>
      <c r="CK25"/>
      <c r="CL25"/>
      <c r="CM25"/>
      <c r="CN25"/>
      <c r="CO25"/>
      <c r="CP25"/>
      <c r="CQ25"/>
      <c r="CR25"/>
      <c r="CS25"/>
      <c r="CT25"/>
      <c r="CU25"/>
      <c r="CV25"/>
      <c r="CW25"/>
      <c r="CX25"/>
      <c r="CY25"/>
      <c r="CZ25"/>
      <c r="DA25"/>
      <c r="DB25"/>
      <c r="DC25"/>
      <c r="DD25"/>
      <c r="DE25"/>
      <c r="DF25"/>
      <c r="DG25"/>
      <c r="DH25"/>
      <c r="DI25"/>
      <c r="DJ25"/>
      <c r="DK25"/>
      <c r="DL25"/>
      <c r="DM25"/>
      <c r="DN25"/>
      <c r="DO25"/>
      <c r="DP25"/>
      <c r="DQ25"/>
      <c r="DR25"/>
      <c r="DS25"/>
      <c r="DT25"/>
      <c r="DU25"/>
      <c r="DV25"/>
      <c r="DW25"/>
      <c r="DX25"/>
      <c r="DY25"/>
      <c r="DZ25"/>
      <c r="EA25"/>
      <c r="EB25"/>
      <c r="EC25"/>
      <c r="ED25"/>
      <c r="EE25"/>
      <c r="EF25"/>
      <c r="EG25"/>
      <c r="EH25"/>
      <c r="EI25"/>
      <c r="EJ25"/>
      <c r="EK25"/>
      <c r="EL25"/>
      <c r="EM25"/>
      <c r="EN25"/>
      <c r="EO25"/>
      <c r="EP25"/>
      <c r="EQ25"/>
      <c r="ER25"/>
      <c r="ES25"/>
      <c r="ET25"/>
      <c r="EU25"/>
      <c r="EV25"/>
      <c r="EW25"/>
      <c r="EX25"/>
      <c r="EY25"/>
      <c r="EZ25"/>
      <c r="FA25"/>
      <c r="FB25"/>
      <c r="FC25"/>
      <c r="FD25"/>
      <c r="FE25"/>
      <c r="FF25"/>
      <c r="FG25"/>
      <c r="FH25"/>
      <c r="FI25"/>
      <c r="FJ25"/>
      <c r="FK25"/>
      <c r="FL25"/>
      <c r="FM25"/>
      <c r="FN25"/>
      <c r="FO25"/>
      <c r="FP25"/>
      <c r="FQ25"/>
      <c r="FR25"/>
      <c r="FS25"/>
      <c r="FT25"/>
      <c r="FU25"/>
      <c r="FV25"/>
      <c r="FW25"/>
      <c r="FX25"/>
      <c r="FY25"/>
      <c r="FZ25"/>
      <c r="GA25"/>
      <c r="GB25"/>
      <c r="GC25"/>
      <c r="GD25"/>
      <c r="GE25"/>
      <c r="GF25"/>
      <c r="GG25"/>
      <c r="GH25"/>
      <c r="GI25"/>
      <c r="GJ25"/>
      <c r="GK25"/>
      <c r="GL25"/>
      <c r="GM25"/>
      <c r="GN25"/>
      <c r="GO25"/>
      <c r="GP25"/>
      <c r="GQ25"/>
      <c r="GR25"/>
      <c r="GS25"/>
      <c r="GT25"/>
      <c r="GU25"/>
      <c r="GV25"/>
      <c r="GW25"/>
      <c r="GX25"/>
      <c r="GY25"/>
      <c r="GZ25"/>
      <c r="HA25"/>
      <c r="HB25"/>
      <c r="HC25"/>
      <c r="HD25"/>
      <c r="HE25"/>
      <c r="HF25"/>
      <c r="HG25"/>
      <c r="HH25"/>
      <c r="HI25"/>
      <c r="HJ25"/>
      <c r="HK25"/>
      <c r="HL25"/>
      <c r="HM25"/>
      <c r="HN25"/>
      <c r="HO25"/>
      <c r="HP25"/>
      <c r="HQ25"/>
      <c r="HR25"/>
      <c r="HS25"/>
      <c r="HT25"/>
      <c r="HU25"/>
      <c r="HV25"/>
      <c r="HW25"/>
      <c r="HX25"/>
      <c r="HY25"/>
      <c r="HZ25"/>
      <c r="IA25"/>
      <c r="IB25"/>
      <c r="IC25"/>
      <c r="ID25"/>
      <c r="IE25"/>
      <c r="IF25"/>
      <c r="IG25"/>
      <c r="IH25"/>
      <c r="II25"/>
      <c r="IJ25"/>
      <c r="IK25"/>
      <c r="IL25"/>
      <c r="IM25"/>
      <c r="IN25"/>
      <c r="IO25"/>
      <c r="IP25"/>
      <c r="IQ25"/>
      <c r="IR25"/>
      <c r="IS25"/>
      <c r="IT25"/>
      <c r="IU25"/>
    </row>
    <row r="26" spans="1:255" s="428" customFormat="1" x14ac:dyDescent="0.35">
      <c r="A26" s="116"/>
      <c r="B26" s="79"/>
      <c r="C26" s="267"/>
      <c r="D26" s="81"/>
      <c r="E26" s="81"/>
      <c r="F26" s="429"/>
      <c r="G26" s="430"/>
      <c r="H26" s="431"/>
      <c r="I26" s="432"/>
      <c r="J26" s="433"/>
      <c r="K26" s="432"/>
      <c r="L26" s="433"/>
      <c r="M26" s="433"/>
      <c r="N26" s="434"/>
      <c r="O26" s="432"/>
      <c r="P26" s="433"/>
      <c r="Q26" s="433"/>
      <c r="R26" s="431"/>
      <c r="S26" s="495"/>
      <c r="T26" s="481">
        <v>43101</v>
      </c>
      <c r="U26" s="494">
        <v>43281</v>
      </c>
      <c r="V26" s="482">
        <f t="shared" si="1"/>
        <v>6</v>
      </c>
      <c r="W26" s="483">
        <v>4.2699999999999996</v>
      </c>
      <c r="X26" s="483"/>
      <c r="Y26" s="484"/>
      <c r="Z26" s="485">
        <v>0.22</v>
      </c>
      <c r="AA26" s="486">
        <f t="shared" si="2"/>
        <v>5.2093999999999996</v>
      </c>
      <c r="AB26" s="487">
        <v>1300000</v>
      </c>
      <c r="AC26" s="487">
        <f t="shared" si="3"/>
        <v>40633320</v>
      </c>
      <c r="AD26" s="85"/>
      <c r="AE26" s="82"/>
      <c r="AF26" s="82"/>
      <c r="AG26" s="81"/>
      <c r="AH26" s="82"/>
      <c r="AI26" s="81"/>
      <c r="AJ26" s="86"/>
      <c r="AK26" s="195"/>
      <c r="AL26" s="87"/>
      <c r="AM26" s="85"/>
      <c r="AN26" s="87"/>
      <c r="AO26"/>
      <c r="AP26"/>
      <c r="AQ26"/>
      <c r="AR26"/>
      <c r="AS26"/>
      <c r="AT26"/>
      <c r="AU26"/>
      <c r="AV26"/>
      <c r="AW26"/>
      <c r="AX26"/>
      <c r="AY26"/>
      <c r="AZ26"/>
      <c r="BA26"/>
      <c r="BB26"/>
      <c r="BC26"/>
      <c r="BD26"/>
      <c r="BE26"/>
      <c r="BF26"/>
      <c r="BG26"/>
      <c r="BH26"/>
      <c r="BI26"/>
      <c r="BJ26"/>
      <c r="BK26"/>
      <c r="BL26"/>
      <c r="BM26"/>
      <c r="BN26"/>
      <c r="BO26"/>
      <c r="BP26"/>
      <c r="BQ26"/>
      <c r="BR26"/>
      <c r="BS26"/>
      <c r="BT26"/>
      <c r="BU26"/>
      <c r="BV26"/>
      <c r="BW26"/>
      <c r="BX26"/>
      <c r="BY26"/>
      <c r="BZ26"/>
      <c r="CA26"/>
      <c r="CB26"/>
      <c r="CC26"/>
      <c r="CD26"/>
      <c r="CE26"/>
      <c r="CF26"/>
      <c r="CG26"/>
      <c r="CH26"/>
      <c r="CI26"/>
      <c r="CJ26"/>
      <c r="CK26"/>
      <c r="CL26"/>
      <c r="CM26"/>
      <c r="CN26"/>
      <c r="CO26"/>
      <c r="CP26"/>
      <c r="CQ26"/>
      <c r="CR26"/>
      <c r="CS26"/>
      <c r="CT26"/>
      <c r="CU26"/>
      <c r="CV26"/>
      <c r="CW26"/>
      <c r="CX26"/>
      <c r="CY26"/>
      <c r="CZ26"/>
      <c r="DA26"/>
      <c r="DB26"/>
      <c r="DC26"/>
      <c r="DD26"/>
      <c r="DE26"/>
      <c r="DF26"/>
      <c r="DG26"/>
      <c r="DH26"/>
      <c r="DI26"/>
      <c r="DJ26"/>
      <c r="DK26"/>
      <c r="DL26"/>
      <c r="DM26"/>
      <c r="DN26"/>
      <c r="DO26"/>
      <c r="DP26"/>
      <c r="DQ26"/>
      <c r="DR26"/>
      <c r="DS26"/>
      <c r="DT26"/>
      <c r="DU26"/>
      <c r="DV26"/>
      <c r="DW26"/>
      <c r="DX26"/>
      <c r="DY26"/>
      <c r="DZ26"/>
      <c r="EA26"/>
      <c r="EB26"/>
      <c r="EC26"/>
      <c r="ED26"/>
      <c r="EE26"/>
      <c r="EF26"/>
      <c r="EG26"/>
      <c r="EH26"/>
      <c r="EI26"/>
      <c r="EJ26"/>
      <c r="EK26"/>
      <c r="EL26"/>
      <c r="EM26"/>
      <c r="EN26"/>
      <c r="EO26"/>
      <c r="EP26"/>
      <c r="EQ26"/>
      <c r="ER26"/>
      <c r="ES26"/>
      <c r="ET26"/>
      <c r="EU26"/>
      <c r="EV26"/>
      <c r="EW26"/>
      <c r="EX26"/>
      <c r="EY26"/>
      <c r="EZ26"/>
      <c r="FA26"/>
      <c r="FB26"/>
      <c r="FC26"/>
      <c r="FD26"/>
      <c r="FE26"/>
      <c r="FF26"/>
      <c r="FG26"/>
      <c r="FH26"/>
      <c r="FI26"/>
      <c r="FJ26"/>
      <c r="FK26"/>
      <c r="FL26"/>
      <c r="FM26"/>
      <c r="FN26"/>
      <c r="FO26"/>
      <c r="FP26"/>
      <c r="FQ26"/>
      <c r="FR26"/>
      <c r="FS26"/>
      <c r="FT26"/>
      <c r="FU26"/>
      <c r="FV26"/>
      <c r="FW26"/>
      <c r="FX26"/>
      <c r="FY26"/>
      <c r="FZ26"/>
      <c r="GA26"/>
      <c r="GB26"/>
      <c r="GC26"/>
      <c r="GD26"/>
      <c r="GE26"/>
      <c r="GF26"/>
      <c r="GG26"/>
      <c r="GH26"/>
      <c r="GI26"/>
      <c r="GJ26"/>
      <c r="GK26"/>
      <c r="GL26"/>
      <c r="GM26"/>
      <c r="GN26"/>
      <c r="GO26"/>
      <c r="GP26"/>
      <c r="GQ26"/>
      <c r="GR26"/>
      <c r="GS26"/>
      <c r="GT26"/>
      <c r="GU26"/>
      <c r="GV26"/>
      <c r="GW26"/>
      <c r="GX26"/>
      <c r="GY26"/>
      <c r="GZ26"/>
      <c r="HA26"/>
      <c r="HB26"/>
      <c r="HC26"/>
      <c r="HD26"/>
      <c r="HE26"/>
      <c r="HF26"/>
      <c r="HG26"/>
      <c r="HH26"/>
      <c r="HI26"/>
      <c r="HJ26"/>
      <c r="HK26"/>
      <c r="HL26"/>
      <c r="HM26"/>
      <c r="HN26"/>
      <c r="HO26"/>
      <c r="HP26"/>
      <c r="HQ26"/>
      <c r="HR26"/>
      <c r="HS26"/>
      <c r="HT26"/>
      <c r="HU26"/>
      <c r="HV26"/>
      <c r="HW26"/>
      <c r="HX26"/>
      <c r="HY26"/>
      <c r="HZ26"/>
      <c r="IA26"/>
      <c r="IB26"/>
      <c r="IC26"/>
      <c r="ID26"/>
      <c r="IE26"/>
      <c r="IF26"/>
      <c r="IG26"/>
      <c r="IH26"/>
      <c r="II26"/>
      <c r="IJ26"/>
      <c r="IK26"/>
      <c r="IL26"/>
      <c r="IM26"/>
      <c r="IN26"/>
      <c r="IO26"/>
      <c r="IP26"/>
      <c r="IQ26"/>
      <c r="IR26"/>
      <c r="IS26"/>
      <c r="IT26"/>
      <c r="IU26"/>
    </row>
    <row r="27" spans="1:255" s="517" customFormat="1" x14ac:dyDescent="0.35">
      <c r="A27" s="496"/>
      <c r="B27" s="497"/>
      <c r="C27" s="498"/>
      <c r="D27" s="499"/>
      <c r="E27" s="499"/>
      <c r="F27" s="500"/>
      <c r="G27" s="501"/>
      <c r="H27" s="502"/>
      <c r="I27" s="499"/>
      <c r="J27" s="503"/>
      <c r="K27" s="499"/>
      <c r="L27" s="503"/>
      <c r="M27" s="503"/>
      <c r="N27" s="504"/>
      <c r="O27" s="499"/>
      <c r="P27" s="503"/>
      <c r="Q27" s="503"/>
      <c r="R27" s="502"/>
      <c r="S27" s="499"/>
      <c r="T27" s="532">
        <v>43282</v>
      </c>
      <c r="U27" s="505">
        <v>43404</v>
      </c>
      <c r="V27" s="506">
        <f t="shared" si="1"/>
        <v>4</v>
      </c>
      <c r="W27" s="507">
        <v>4.2699999999999996</v>
      </c>
      <c r="X27" s="507"/>
      <c r="Y27" s="508"/>
      <c r="Z27" s="509">
        <v>0.22</v>
      </c>
      <c r="AA27" s="510">
        <f t="shared" si="2"/>
        <v>5.2093999999999996</v>
      </c>
      <c r="AB27" s="511">
        <v>1390000</v>
      </c>
      <c r="AC27" s="511">
        <f t="shared" si="3"/>
        <v>28964263.999999996</v>
      </c>
      <c r="AD27" s="512"/>
      <c r="AE27" s="503"/>
      <c r="AF27" s="503"/>
      <c r="AG27" s="499"/>
      <c r="AH27" s="503"/>
      <c r="AI27" s="499"/>
      <c r="AJ27" s="513"/>
      <c r="AK27" s="514"/>
      <c r="AL27" s="515"/>
      <c r="AM27" s="512"/>
      <c r="AN27" s="515"/>
      <c r="AO27" s="516"/>
      <c r="AP27" s="516"/>
      <c r="AQ27" s="516"/>
      <c r="AR27" s="516"/>
      <c r="AS27" s="516"/>
      <c r="AT27" s="516"/>
      <c r="AU27" s="516"/>
      <c r="AV27" s="516"/>
      <c r="AW27" s="516"/>
      <c r="AX27" s="516"/>
      <c r="AY27" s="516"/>
      <c r="AZ27" s="516"/>
      <c r="BA27" s="516"/>
      <c r="BB27" s="516"/>
      <c r="BC27" s="516"/>
      <c r="BD27" s="516"/>
      <c r="BE27" s="516"/>
      <c r="BF27" s="516"/>
      <c r="BG27" s="516"/>
      <c r="BH27" s="516"/>
      <c r="BI27" s="516"/>
      <c r="BJ27" s="516"/>
      <c r="BK27" s="516"/>
      <c r="BL27" s="516"/>
      <c r="BM27" s="516"/>
      <c r="BN27" s="516"/>
      <c r="BO27" s="516"/>
      <c r="BP27" s="516"/>
      <c r="BQ27" s="516"/>
      <c r="BR27" s="516"/>
      <c r="BS27" s="516"/>
      <c r="BT27" s="516"/>
      <c r="BU27" s="516"/>
      <c r="BV27" s="516"/>
      <c r="BW27" s="516"/>
      <c r="BX27" s="516"/>
      <c r="BY27" s="516"/>
      <c r="BZ27" s="516"/>
      <c r="CA27" s="516"/>
      <c r="CB27" s="516"/>
      <c r="CC27" s="516"/>
      <c r="CD27" s="516"/>
      <c r="CE27" s="516"/>
      <c r="CF27" s="516"/>
      <c r="CG27" s="516"/>
      <c r="CH27" s="516"/>
      <c r="CI27" s="516"/>
      <c r="CJ27" s="516"/>
      <c r="CK27" s="516"/>
      <c r="CL27" s="516"/>
      <c r="CM27" s="516"/>
      <c r="CN27" s="516"/>
      <c r="CO27" s="516"/>
      <c r="CP27" s="516"/>
      <c r="CQ27" s="516"/>
      <c r="CR27" s="516"/>
      <c r="CS27" s="516"/>
      <c r="CT27" s="516"/>
      <c r="CU27" s="516"/>
      <c r="CV27" s="516"/>
      <c r="CW27" s="516"/>
      <c r="CX27" s="516"/>
      <c r="CY27" s="516"/>
      <c r="CZ27" s="516"/>
      <c r="DA27" s="516"/>
      <c r="DB27" s="516"/>
      <c r="DC27" s="516"/>
      <c r="DD27" s="516"/>
      <c r="DE27" s="516"/>
      <c r="DF27" s="516"/>
      <c r="DG27" s="516"/>
      <c r="DH27" s="516"/>
      <c r="DI27" s="516"/>
      <c r="DJ27" s="516"/>
      <c r="DK27" s="516"/>
      <c r="DL27" s="516"/>
      <c r="DM27" s="516"/>
      <c r="DN27" s="516"/>
      <c r="DO27" s="516"/>
      <c r="DP27" s="516"/>
      <c r="DQ27" s="516"/>
      <c r="DR27" s="516"/>
      <c r="DS27" s="516"/>
      <c r="DT27" s="516"/>
      <c r="DU27" s="516"/>
      <c r="DV27" s="516"/>
      <c r="DW27" s="516"/>
      <c r="DX27" s="516"/>
      <c r="DY27" s="516"/>
      <c r="DZ27" s="516"/>
      <c r="EA27" s="516"/>
      <c r="EB27" s="516"/>
      <c r="EC27" s="516"/>
      <c r="ED27" s="516"/>
      <c r="EE27" s="516"/>
      <c r="EF27" s="516"/>
      <c r="EG27" s="516"/>
      <c r="EH27" s="516"/>
      <c r="EI27" s="516"/>
      <c r="EJ27" s="516"/>
      <c r="EK27" s="516"/>
      <c r="EL27" s="516"/>
      <c r="EM27" s="516"/>
      <c r="EN27" s="516"/>
      <c r="EO27" s="516"/>
      <c r="EP27" s="516"/>
      <c r="EQ27" s="516"/>
      <c r="ER27" s="516"/>
      <c r="ES27" s="516"/>
      <c r="ET27" s="516"/>
      <c r="EU27" s="516"/>
      <c r="EV27" s="516"/>
      <c r="EW27" s="516"/>
      <c r="EX27" s="516"/>
      <c r="EY27" s="516"/>
      <c r="EZ27" s="516"/>
      <c r="FA27" s="516"/>
      <c r="FB27" s="516"/>
      <c r="FC27" s="516"/>
      <c r="FD27" s="516"/>
      <c r="FE27" s="516"/>
      <c r="FF27" s="516"/>
      <c r="FG27" s="516"/>
      <c r="FH27" s="516"/>
      <c r="FI27" s="516"/>
      <c r="FJ27" s="516"/>
      <c r="FK27" s="516"/>
      <c r="FL27" s="516"/>
      <c r="FM27" s="516"/>
      <c r="FN27" s="516"/>
      <c r="FO27" s="516"/>
      <c r="FP27" s="516"/>
      <c r="FQ27" s="516"/>
      <c r="FR27" s="516"/>
      <c r="FS27" s="516"/>
      <c r="FT27" s="516"/>
      <c r="FU27" s="516"/>
      <c r="FV27" s="516"/>
      <c r="FW27" s="516"/>
      <c r="FX27" s="516"/>
      <c r="FY27" s="516"/>
      <c r="FZ27" s="516"/>
      <c r="GA27" s="516"/>
      <c r="GB27" s="516"/>
      <c r="GC27" s="516"/>
      <c r="GD27" s="516"/>
      <c r="GE27" s="516"/>
      <c r="GF27" s="516"/>
      <c r="GG27" s="516"/>
      <c r="GH27" s="516"/>
      <c r="GI27" s="516"/>
      <c r="GJ27" s="516"/>
      <c r="GK27" s="516"/>
      <c r="GL27" s="516"/>
      <c r="GM27" s="516"/>
      <c r="GN27" s="516"/>
      <c r="GO27" s="516"/>
      <c r="GP27" s="516"/>
      <c r="GQ27" s="516"/>
      <c r="GR27" s="516"/>
      <c r="GS27" s="516"/>
      <c r="GT27" s="516"/>
      <c r="GU27" s="516"/>
      <c r="GV27" s="516"/>
      <c r="GW27" s="516"/>
      <c r="GX27" s="516"/>
      <c r="GY27" s="516"/>
      <c r="GZ27" s="516"/>
      <c r="HA27" s="516"/>
      <c r="HB27" s="516"/>
      <c r="HC27" s="516"/>
      <c r="HD27" s="516"/>
      <c r="HE27" s="516"/>
      <c r="HF27" s="516"/>
      <c r="HG27" s="516"/>
      <c r="HH27" s="516"/>
      <c r="HI27" s="516"/>
      <c r="HJ27" s="516"/>
      <c r="HK27" s="516"/>
      <c r="HL27" s="516"/>
      <c r="HM27" s="516"/>
      <c r="HN27" s="516"/>
      <c r="HO27" s="516"/>
      <c r="HP27" s="516"/>
      <c r="HQ27" s="516"/>
      <c r="HR27" s="516"/>
      <c r="HS27" s="516"/>
      <c r="HT27" s="516"/>
      <c r="HU27" s="516"/>
      <c r="HV27" s="516"/>
      <c r="HW27" s="516"/>
      <c r="HX27" s="516"/>
      <c r="HY27" s="516"/>
      <c r="HZ27" s="516"/>
      <c r="IA27" s="516"/>
      <c r="IB27" s="516"/>
      <c r="IC27" s="516"/>
      <c r="ID27" s="516"/>
      <c r="IE27" s="516"/>
      <c r="IF27" s="516"/>
      <c r="IG27" s="516"/>
      <c r="IH27" s="516"/>
      <c r="II27" s="516"/>
      <c r="IJ27" s="516"/>
      <c r="IK27" s="516"/>
      <c r="IL27" s="516"/>
      <c r="IM27" s="516"/>
      <c r="IN27" s="516"/>
      <c r="IO27" s="516"/>
      <c r="IP27" s="516"/>
      <c r="IQ27" s="516"/>
      <c r="IR27" s="516"/>
      <c r="IS27" s="516"/>
      <c r="IT27" s="516"/>
      <c r="IU27" s="516"/>
    </row>
    <row r="28" spans="1:255" s="428" customFormat="1" x14ac:dyDescent="0.35">
      <c r="A28" s="116"/>
      <c r="B28" s="435"/>
      <c r="C28" s="436"/>
      <c r="D28" s="437"/>
      <c r="E28" s="437"/>
      <c r="F28" s="438"/>
      <c r="G28" s="439"/>
      <c r="H28" s="438"/>
      <c r="I28" s="438"/>
      <c r="J28" s="438"/>
      <c r="K28" s="438"/>
      <c r="L28" s="438"/>
      <c r="M28" s="438"/>
      <c r="N28" s="438"/>
      <c r="O28" s="438"/>
      <c r="P28" s="438"/>
      <c r="Q28" s="438"/>
      <c r="R28" s="438"/>
      <c r="S28" s="438"/>
      <c r="T28" s="488"/>
      <c r="U28" s="488"/>
      <c r="V28" s="489" t="e">
        <f>SUM(V17:V27)</f>
        <v>#VALUE!</v>
      </c>
      <c r="W28" s="490"/>
      <c r="X28" s="488"/>
      <c r="Y28" s="488"/>
      <c r="Z28" s="488"/>
      <c r="AA28" s="490"/>
      <c r="AB28" s="491"/>
      <c r="AC28" s="491" t="e">
        <f>SUM(AC17:AC27)</f>
        <v>#VALUE!</v>
      </c>
      <c r="AD28" s="437"/>
      <c r="AE28" s="437"/>
      <c r="AF28" s="437"/>
      <c r="AG28" s="437"/>
      <c r="AH28" s="437"/>
      <c r="AI28" s="437"/>
      <c r="AJ28" s="437"/>
      <c r="AK28" s="231"/>
      <c r="AL28" s="437"/>
      <c r="AM28" s="437"/>
      <c r="AN28" s="440"/>
    </row>
    <row r="29" spans="1:255" s="428" customFormat="1" ht="16.5" customHeight="1" x14ac:dyDescent="0.35">
      <c r="A29" s="116" t="s">
        <v>402</v>
      </c>
      <c r="B29" s="140">
        <v>2</v>
      </c>
      <c r="C29" s="370" t="s">
        <v>710</v>
      </c>
      <c r="D29" s="139">
        <v>25898</v>
      </c>
      <c r="E29" s="98">
        <v>25903</v>
      </c>
      <c r="F29" s="140"/>
      <c r="G29" s="214" t="s">
        <v>711</v>
      </c>
      <c r="H29" s="467" t="s">
        <v>702</v>
      </c>
      <c r="I29" s="461">
        <v>44652</v>
      </c>
      <c r="J29" s="462"/>
      <c r="K29" s="464"/>
      <c r="L29" s="463" t="s">
        <v>435</v>
      </c>
      <c r="M29" s="464" t="s">
        <v>668</v>
      </c>
      <c r="N29" s="463" t="s">
        <v>393</v>
      </c>
      <c r="O29" s="461" t="s">
        <v>713</v>
      </c>
      <c r="P29" s="466"/>
      <c r="Q29" s="466"/>
      <c r="R29" s="467">
        <v>4.9800000000000004</v>
      </c>
      <c r="S29" s="465">
        <v>42826</v>
      </c>
      <c r="T29" s="480">
        <f>EDATE(AG29,-67)</f>
        <v>42948</v>
      </c>
      <c r="U29" s="481" t="s">
        <v>678</v>
      </c>
      <c r="V29" s="482">
        <f t="shared" ref="V29:V37" si="4">ROUND(DAYS360(T29,U29,0)/30,0)</f>
        <v>8</v>
      </c>
      <c r="W29" s="483">
        <v>4.9800000000000004</v>
      </c>
      <c r="X29" s="483"/>
      <c r="Y29" s="484"/>
      <c r="Z29" s="485">
        <v>0.24</v>
      </c>
      <c r="AA29" s="486">
        <f t="shared" ref="AA29:AA37" si="5">W29+X29+Y29*W29+(W29+X29+Y29*W29)*Z29</f>
        <v>6.1752000000000002</v>
      </c>
      <c r="AB29" s="487">
        <v>1300000</v>
      </c>
      <c r="AC29" s="487">
        <f t="shared" ref="AC29:AC37" si="6">V29*AA29*AB29</f>
        <v>64222080</v>
      </c>
      <c r="AD29" s="228">
        <f>AC38/V38</f>
        <v>9286741.5159999989</v>
      </c>
      <c r="AE29" s="537" t="s">
        <v>721</v>
      </c>
      <c r="AF29" s="140"/>
      <c r="AG29" s="139">
        <v>44986</v>
      </c>
      <c r="AH29" s="140" t="str">
        <f>DATEDIF(E29,AG29,"y")&amp;"t"&amp;DATEDIF(E29,AG29,"ym")&amp;"th"</f>
        <v>52t3th</v>
      </c>
      <c r="AI29" s="98" t="s">
        <v>529</v>
      </c>
      <c r="AJ29" s="113" t="str">
        <f>QUOTIENT((VALUE(LEFT(AI29,2))*12+VALUE(MID(AI29,4,LEN(AI29)-5))-(VALUE(LEFT(AH29,2))*12+VALUE(MID(AH29,4,LEN(AH29)-5)))),12)&amp;"n"&amp;MOD(VALUE(LEFT(AI29,2))*12+VALUE(MID(AI29,4,LEN(AI29)-5))-(VALUE(LEFT(AH29,2))*12+VALUE(MID(AH29,4,LEN(AH29)-5))),12)&amp;"t"</f>
        <v>3n9t</v>
      </c>
      <c r="AK29" s="391">
        <f>SUM(AL29:AN29)</f>
        <v>199664943</v>
      </c>
      <c r="AL29" s="163">
        <f>ROUND(IF(LEN(AJ29)&lt;3,VALUE(LEFT(AJ29,1))*3*AD29,(VALUE(LEFT(AJ29,1))*3+IF(VALUE(MID(AJ29,3,LEN(AJ29)-3))&gt;6,2,IF(VALUE(MID(AJ29,3,LEN(AJ29)-3))&gt;0,1,0)))*AD29),0)</f>
        <v>102154157</v>
      </c>
      <c r="AM29" s="163">
        <f>ROUND(5*AD29,0)</f>
        <v>46433708</v>
      </c>
      <c r="AN29" s="164">
        <f>ROUND(((VALUE(LEFT(AE29,2)-20))+IF(LEN(AE29)&lt;4,0,IF(VALUE(MID(AE29,4,LEN(AE29)-4))&gt;6,1,IF(VALUE(MID(AE29,4,LEN(AE29)-4))&gt;2,0.5,0))))*AD29*1/2,0)</f>
        <v>51077078</v>
      </c>
      <c r="AO29"/>
      <c r="AP29"/>
      <c r="AQ29"/>
      <c r="AR29"/>
      <c r="AS29"/>
      <c r="AT29"/>
      <c r="AU29"/>
      <c r="AV29"/>
      <c r="AW29"/>
      <c r="AX29"/>
      <c r="AY29"/>
      <c r="AZ29"/>
      <c r="BA29"/>
      <c r="BB29"/>
      <c r="BC29"/>
      <c r="BD29"/>
      <c r="BE29"/>
      <c r="BF29"/>
      <c r="BG29"/>
      <c r="BH29"/>
      <c r="BI29"/>
      <c r="BJ29"/>
      <c r="BK29"/>
      <c r="BL29"/>
      <c r="BM29"/>
      <c r="BN29"/>
      <c r="BO29"/>
      <c r="BP29"/>
      <c r="BQ29"/>
      <c r="BR29"/>
      <c r="BS29"/>
      <c r="BT29"/>
      <c r="BU29"/>
      <c r="BV29"/>
      <c r="BW29"/>
      <c r="BX29"/>
      <c r="BY29"/>
      <c r="BZ29"/>
      <c r="CA29"/>
      <c r="CB29"/>
      <c r="CC29"/>
      <c r="CD29"/>
      <c r="CE29"/>
      <c r="CF29"/>
      <c r="CG29"/>
      <c r="CH29"/>
      <c r="CI29"/>
      <c r="CJ29"/>
      <c r="CK29"/>
      <c r="CL29"/>
      <c r="CM29"/>
      <c r="CN29"/>
      <c r="CO29"/>
      <c r="CP29"/>
      <c r="CQ29"/>
      <c r="CR29"/>
      <c r="CS29"/>
      <c r="CT29"/>
      <c r="CU29"/>
      <c r="CV29"/>
      <c r="CW29"/>
      <c r="CX29"/>
      <c r="CY29"/>
      <c r="CZ29"/>
      <c r="DA29"/>
      <c r="DB29"/>
      <c r="DC29"/>
      <c r="DD29"/>
      <c r="DE29"/>
      <c r="DF29"/>
      <c r="DG29"/>
      <c r="DH29"/>
      <c r="DI29"/>
      <c r="DJ29"/>
      <c r="DK29"/>
      <c r="DL29"/>
      <c r="DM29"/>
      <c r="DN29"/>
      <c r="DO29"/>
      <c r="DP29"/>
      <c r="DQ29"/>
      <c r="DR29"/>
      <c r="DS29"/>
      <c r="DT29"/>
      <c r="DU29"/>
      <c r="DV29"/>
      <c r="DW29"/>
      <c r="DX29"/>
      <c r="DY29"/>
      <c r="DZ29"/>
      <c r="EA29"/>
      <c r="EB29"/>
      <c r="EC29"/>
      <c r="ED29"/>
      <c r="EE29"/>
      <c r="EF29"/>
      <c r="EG29"/>
      <c r="EH29"/>
      <c r="EI29"/>
      <c r="EJ29"/>
      <c r="EK29"/>
      <c r="EL29"/>
      <c r="EM29"/>
      <c r="EN29"/>
      <c r="EO29"/>
      <c r="EP29"/>
      <c r="EQ29"/>
      <c r="ER29"/>
      <c r="ES29"/>
      <c r="ET29"/>
      <c r="EU29"/>
      <c r="EV29"/>
      <c r="EW29"/>
      <c r="EX29"/>
      <c r="EY29"/>
      <c r="EZ29"/>
      <c r="FA29"/>
      <c r="FB29"/>
      <c r="FC29"/>
      <c r="FD29"/>
      <c r="FE29"/>
      <c r="FF29"/>
      <c r="FG29"/>
      <c r="FH29"/>
      <c r="FI29"/>
      <c r="FJ29"/>
      <c r="FK29"/>
      <c r="FL29"/>
      <c r="FM29"/>
      <c r="FN29"/>
      <c r="FO29"/>
      <c r="FP29"/>
      <c r="FQ29"/>
      <c r="FR29"/>
      <c r="FS29"/>
      <c r="FT29"/>
      <c r="FU29"/>
      <c r="FV29"/>
      <c r="FW29"/>
      <c r="FX29"/>
      <c r="FY29"/>
      <c r="FZ29"/>
      <c r="GA29"/>
      <c r="GB29"/>
      <c r="GC29"/>
      <c r="GD29"/>
      <c r="GE29"/>
      <c r="GF29"/>
      <c r="GG29"/>
      <c r="GH29"/>
      <c r="GI29"/>
      <c r="GJ29"/>
      <c r="GK29"/>
      <c r="GL29"/>
      <c r="GM29"/>
      <c r="GN29"/>
      <c r="GO29"/>
      <c r="GP29"/>
      <c r="GQ29"/>
      <c r="GR29"/>
      <c r="GS29"/>
      <c r="GT29"/>
      <c r="GU29"/>
      <c r="GV29"/>
      <c r="GW29"/>
      <c r="GX29"/>
      <c r="GY29"/>
      <c r="GZ29"/>
      <c r="HA29"/>
      <c r="HB29"/>
      <c r="HC29"/>
      <c r="HD29"/>
      <c r="HE29"/>
      <c r="HF29"/>
      <c r="HG29"/>
      <c r="HH29"/>
      <c r="HI29"/>
      <c r="HJ29"/>
      <c r="HK29"/>
      <c r="HL29"/>
      <c r="HM29"/>
      <c r="HN29"/>
      <c r="HO29"/>
      <c r="HP29"/>
      <c r="HQ29"/>
      <c r="HR29"/>
      <c r="HS29"/>
      <c r="HT29"/>
      <c r="HU29"/>
      <c r="HV29"/>
      <c r="HW29"/>
      <c r="HX29"/>
      <c r="HY29"/>
      <c r="HZ29"/>
      <c r="IA29"/>
      <c r="IB29"/>
      <c r="IC29"/>
      <c r="ID29"/>
      <c r="IE29"/>
      <c r="IF29"/>
      <c r="IG29"/>
      <c r="IH29"/>
      <c r="II29"/>
      <c r="IJ29"/>
      <c r="IK29"/>
      <c r="IL29"/>
      <c r="IM29"/>
      <c r="IN29"/>
      <c r="IO29"/>
      <c r="IP29"/>
      <c r="IQ29"/>
      <c r="IR29"/>
      <c r="IS29"/>
      <c r="IT29"/>
      <c r="IU29"/>
    </row>
    <row r="30" spans="1:255" s="428" customFormat="1" ht="16.5" customHeight="1" x14ac:dyDescent="0.35">
      <c r="A30" s="116"/>
      <c r="B30" s="96"/>
      <c r="C30" s="445"/>
      <c r="D30" s="98"/>
      <c r="E30" s="98"/>
      <c r="F30" s="446"/>
      <c r="G30" s="213"/>
      <c r="H30" s="100"/>
      <c r="I30" s="98"/>
      <c r="J30" s="99"/>
      <c r="K30" s="98"/>
      <c r="L30" s="141"/>
      <c r="M30" s="98"/>
      <c r="N30" s="141"/>
      <c r="O30" s="98"/>
      <c r="P30" s="99"/>
      <c r="Q30" s="99"/>
      <c r="R30" s="100"/>
      <c r="S30" s="98"/>
      <c r="T30" s="480" t="s">
        <v>679</v>
      </c>
      <c r="U30" s="481" t="s">
        <v>674</v>
      </c>
      <c r="V30" s="482">
        <f t="shared" si="4"/>
        <v>3</v>
      </c>
      <c r="W30" s="483">
        <v>4.9800000000000004</v>
      </c>
      <c r="X30" s="483"/>
      <c r="Y30" s="484"/>
      <c r="Z30" s="485">
        <v>0.25</v>
      </c>
      <c r="AA30" s="486">
        <f t="shared" si="5"/>
        <v>6.2250000000000005</v>
      </c>
      <c r="AB30" s="487">
        <v>1300000</v>
      </c>
      <c r="AC30" s="487">
        <f t="shared" si="6"/>
        <v>24277500</v>
      </c>
      <c r="AD30" s="226"/>
      <c r="AE30" s="424"/>
      <c r="AF30" s="99"/>
      <c r="AG30" s="98"/>
      <c r="AH30" s="99"/>
      <c r="AI30" s="98"/>
      <c r="AJ30" s="113"/>
      <c r="AK30" s="447"/>
      <c r="AL30" s="103"/>
      <c r="AM30" s="103"/>
      <c r="AN30" s="102"/>
      <c r="AO30"/>
      <c r="AP30"/>
      <c r="AQ30"/>
      <c r="AR30"/>
      <c r="AS30"/>
      <c r="AT30"/>
      <c r="AU30"/>
      <c r="AV30"/>
      <c r="AW30"/>
      <c r="AX30"/>
      <c r="AY30"/>
      <c r="AZ30"/>
      <c r="BA30"/>
      <c r="BB30"/>
      <c r="BC30"/>
      <c r="BD30"/>
      <c r="BE30"/>
      <c r="BF30"/>
      <c r="BG30"/>
      <c r="BH30"/>
      <c r="BI30"/>
      <c r="BJ30"/>
      <c r="BK30"/>
      <c r="BL30"/>
      <c r="BM30"/>
      <c r="BN30"/>
      <c r="BO30"/>
      <c r="BP30"/>
      <c r="BQ30"/>
      <c r="BR30"/>
      <c r="BS30"/>
      <c r="BT30"/>
      <c r="BU30"/>
      <c r="BV30"/>
      <c r="BW30"/>
      <c r="BX30"/>
      <c r="BY30"/>
      <c r="BZ30"/>
      <c r="CA30"/>
      <c r="CB30"/>
      <c r="CC30"/>
      <c r="CD30"/>
      <c r="CE30"/>
      <c r="CF30"/>
      <c r="CG30"/>
      <c r="CH30"/>
      <c r="CI30"/>
      <c r="CJ30"/>
      <c r="CK30"/>
      <c r="CL30"/>
      <c r="CM30"/>
      <c r="CN30"/>
      <c r="CO30"/>
      <c r="CP30"/>
      <c r="CQ30"/>
      <c r="CR30"/>
      <c r="CS30"/>
      <c r="CT30"/>
      <c r="CU30"/>
      <c r="CV30"/>
      <c r="CW30"/>
      <c r="CX30"/>
      <c r="CY30"/>
      <c r="CZ30"/>
      <c r="DA30"/>
      <c r="DB30"/>
      <c r="DC30"/>
      <c r="DD30"/>
      <c r="DE30"/>
      <c r="DF30"/>
      <c r="DG30"/>
      <c r="DH30"/>
      <c r="DI30"/>
      <c r="DJ30"/>
      <c r="DK30"/>
      <c r="DL30"/>
      <c r="DM30"/>
      <c r="DN30"/>
      <c r="DO30"/>
      <c r="DP30"/>
      <c r="DQ30"/>
      <c r="DR30"/>
      <c r="DS30"/>
      <c r="DT30"/>
      <c r="DU30"/>
      <c r="DV30"/>
      <c r="DW30"/>
      <c r="DX30"/>
      <c r="DY30"/>
      <c r="DZ30"/>
      <c r="EA30"/>
      <c r="EB30"/>
      <c r="EC30"/>
      <c r="ED30"/>
      <c r="EE30"/>
      <c r="EF30"/>
      <c r="EG30"/>
      <c r="EH30"/>
      <c r="EI30"/>
      <c r="EJ30"/>
      <c r="EK30"/>
      <c r="EL30"/>
      <c r="EM30"/>
      <c r="EN30"/>
      <c r="EO30"/>
      <c r="EP30"/>
      <c r="EQ30"/>
      <c r="ER30"/>
      <c r="ES30"/>
      <c r="ET30"/>
      <c r="EU30"/>
      <c r="EV30"/>
      <c r="EW30"/>
      <c r="EX30"/>
      <c r="EY30"/>
      <c r="EZ30"/>
      <c r="FA30"/>
      <c r="FB30"/>
      <c r="FC30"/>
      <c r="FD30"/>
      <c r="FE30"/>
      <c r="FF30"/>
      <c r="FG30"/>
      <c r="FH30"/>
      <c r="FI30"/>
      <c r="FJ30"/>
      <c r="FK30"/>
      <c r="FL30"/>
      <c r="FM30"/>
      <c r="FN30"/>
      <c r="FO30"/>
      <c r="FP30"/>
      <c r="FQ30"/>
      <c r="FR30"/>
      <c r="FS30"/>
      <c r="FT30"/>
      <c r="FU30"/>
      <c r="FV30"/>
      <c r="FW30"/>
      <c r="FX30"/>
      <c r="FY30"/>
      <c r="FZ30"/>
      <c r="GA30"/>
      <c r="GB30"/>
      <c r="GC30"/>
      <c r="GD30"/>
      <c r="GE30"/>
      <c r="GF30"/>
      <c r="GG30"/>
      <c r="GH30"/>
      <c r="GI30"/>
      <c r="GJ30"/>
      <c r="GK30"/>
      <c r="GL30"/>
      <c r="GM30"/>
      <c r="GN30"/>
      <c r="GO30"/>
      <c r="GP30"/>
      <c r="GQ30"/>
      <c r="GR30"/>
      <c r="GS30"/>
      <c r="GT30"/>
      <c r="GU30"/>
      <c r="GV30"/>
      <c r="GW30"/>
      <c r="GX30"/>
      <c r="GY30"/>
      <c r="GZ30"/>
      <c r="HA30"/>
      <c r="HB30"/>
      <c r="HC30"/>
      <c r="HD30"/>
      <c r="HE30"/>
      <c r="HF30"/>
      <c r="HG30"/>
      <c r="HH30"/>
      <c r="HI30"/>
      <c r="HJ30"/>
      <c r="HK30"/>
      <c r="HL30"/>
      <c r="HM30"/>
      <c r="HN30"/>
      <c r="HO30"/>
      <c r="HP30"/>
      <c r="HQ30"/>
      <c r="HR30"/>
      <c r="HS30"/>
      <c r="HT30"/>
      <c r="HU30"/>
      <c r="HV30"/>
      <c r="HW30"/>
      <c r="HX30"/>
      <c r="HY30"/>
      <c r="HZ30"/>
      <c r="IA30"/>
      <c r="IB30"/>
      <c r="IC30"/>
      <c r="ID30"/>
      <c r="IE30"/>
      <c r="IF30"/>
      <c r="IG30"/>
      <c r="IH30"/>
      <c r="II30"/>
      <c r="IJ30"/>
      <c r="IK30"/>
      <c r="IL30"/>
      <c r="IM30"/>
      <c r="IN30"/>
      <c r="IO30"/>
      <c r="IP30"/>
      <c r="IQ30"/>
      <c r="IR30"/>
      <c r="IS30"/>
      <c r="IT30"/>
      <c r="IU30"/>
    </row>
    <row r="31" spans="1:255" s="428" customFormat="1" ht="16.5" customHeight="1" x14ac:dyDescent="0.35">
      <c r="A31" s="116"/>
      <c r="B31" s="96"/>
      <c r="C31" s="445"/>
      <c r="D31" s="98"/>
      <c r="E31" s="98"/>
      <c r="F31" s="446"/>
      <c r="G31" s="213"/>
      <c r="H31" s="100"/>
      <c r="I31" s="98"/>
      <c r="J31" s="99"/>
      <c r="K31" s="98"/>
      <c r="L31" s="141"/>
      <c r="M31" s="98"/>
      <c r="N31" s="141"/>
      <c r="O31" s="98"/>
      <c r="P31" s="99"/>
      <c r="Q31" s="99"/>
      <c r="R31" s="100"/>
      <c r="S31" s="98"/>
      <c r="T31" s="480" t="s">
        <v>675</v>
      </c>
      <c r="U31" s="481" t="s">
        <v>680</v>
      </c>
      <c r="V31" s="482">
        <f t="shared" si="4"/>
        <v>9</v>
      </c>
      <c r="W31" s="483">
        <v>4.9800000000000004</v>
      </c>
      <c r="X31" s="483"/>
      <c r="Y31" s="484"/>
      <c r="Z31" s="485">
        <v>0.25</v>
      </c>
      <c r="AA31" s="486">
        <f t="shared" si="5"/>
        <v>6.2250000000000005</v>
      </c>
      <c r="AB31" s="487">
        <v>1390000</v>
      </c>
      <c r="AC31" s="487">
        <f t="shared" si="6"/>
        <v>77874750.000000015</v>
      </c>
      <c r="AD31" s="226"/>
      <c r="AE31" s="424"/>
      <c r="AF31" s="99"/>
      <c r="AG31" s="98"/>
      <c r="AH31" s="99"/>
      <c r="AI31" s="98"/>
      <c r="AJ31" s="113"/>
      <c r="AK31" s="447"/>
      <c r="AL31" s="103"/>
      <c r="AM31" s="103"/>
      <c r="AN31" s="102"/>
      <c r="AO31"/>
      <c r="AP31"/>
      <c r="AQ31"/>
      <c r="AR31"/>
      <c r="AS31"/>
      <c r="AT31"/>
      <c r="AU31"/>
      <c r="AV31"/>
      <c r="AW31"/>
      <c r="AX31"/>
      <c r="AY31"/>
      <c r="AZ31"/>
      <c r="BA31"/>
      <c r="BB31"/>
      <c r="BC31"/>
      <c r="BD31"/>
      <c r="BE31"/>
      <c r="BF31"/>
      <c r="BG31"/>
      <c r="BH31"/>
      <c r="BI31"/>
      <c r="BJ31"/>
      <c r="BK31"/>
      <c r="BL31"/>
      <c r="BM31"/>
      <c r="BN31"/>
      <c r="BO31"/>
      <c r="BP31"/>
      <c r="BQ31"/>
      <c r="BR31"/>
      <c r="BS31"/>
      <c r="BT31"/>
      <c r="BU31"/>
      <c r="BV31"/>
      <c r="BW31"/>
      <c r="BX31"/>
      <c r="BY31"/>
      <c r="BZ31"/>
      <c r="CA31"/>
      <c r="CB31"/>
      <c r="CC31"/>
      <c r="CD31"/>
      <c r="CE31"/>
      <c r="CF31"/>
      <c r="CG31"/>
      <c r="CH31"/>
      <c r="CI31"/>
      <c r="CJ31"/>
      <c r="CK31"/>
      <c r="CL31"/>
      <c r="CM31"/>
      <c r="CN31"/>
      <c r="CO31"/>
      <c r="CP31"/>
      <c r="CQ31"/>
      <c r="CR31"/>
      <c r="CS31"/>
      <c r="CT31"/>
      <c r="CU31"/>
      <c r="CV31"/>
      <c r="CW31"/>
      <c r="CX31"/>
      <c r="CY31"/>
      <c r="CZ31"/>
      <c r="DA31"/>
      <c r="DB31"/>
      <c r="DC31"/>
      <c r="DD31"/>
      <c r="DE31"/>
      <c r="DF31"/>
      <c r="DG31"/>
      <c r="DH31"/>
      <c r="DI31"/>
      <c r="DJ31"/>
      <c r="DK31"/>
      <c r="DL31"/>
      <c r="DM31"/>
      <c r="DN31"/>
      <c r="DO31"/>
      <c r="DP31"/>
      <c r="DQ31"/>
      <c r="DR31"/>
      <c r="DS31"/>
      <c r="DT31"/>
      <c r="DU31"/>
      <c r="DV31"/>
      <c r="DW31"/>
      <c r="DX31"/>
      <c r="DY31"/>
      <c r="DZ31"/>
      <c r="EA31"/>
      <c r="EB31"/>
      <c r="EC31"/>
      <c r="ED31"/>
      <c r="EE31"/>
      <c r="EF31"/>
      <c r="EG31"/>
      <c r="EH31"/>
      <c r="EI31"/>
      <c r="EJ31"/>
      <c r="EK31"/>
      <c r="EL31"/>
      <c r="EM31"/>
      <c r="EN31"/>
      <c r="EO31"/>
      <c r="EP31"/>
      <c r="EQ31"/>
      <c r="ER31"/>
      <c r="ES31"/>
      <c r="ET31"/>
      <c r="EU31"/>
      <c r="EV31"/>
      <c r="EW31"/>
      <c r="EX31"/>
      <c r="EY31"/>
      <c r="EZ31"/>
      <c r="FA31"/>
      <c r="FB31"/>
      <c r="FC31"/>
      <c r="FD31"/>
      <c r="FE31"/>
      <c r="FF31"/>
      <c r="FG31"/>
      <c r="FH31"/>
      <c r="FI31"/>
      <c r="FJ31"/>
      <c r="FK31"/>
      <c r="FL31"/>
      <c r="FM31"/>
      <c r="FN31"/>
      <c r="FO31"/>
      <c r="FP31"/>
      <c r="FQ31"/>
      <c r="FR31"/>
      <c r="FS31"/>
      <c r="FT31"/>
      <c r="FU31"/>
      <c r="FV31"/>
      <c r="FW31"/>
      <c r="FX31"/>
      <c r="FY31"/>
      <c r="FZ31"/>
      <c r="GA31"/>
      <c r="GB31"/>
      <c r="GC31"/>
      <c r="GD31"/>
      <c r="GE31"/>
      <c r="GF31"/>
      <c r="GG31"/>
      <c r="GH31"/>
      <c r="GI31"/>
      <c r="GJ31"/>
      <c r="GK31"/>
      <c r="GL31"/>
      <c r="GM31"/>
      <c r="GN31"/>
      <c r="GO31"/>
      <c r="GP31"/>
      <c r="GQ31"/>
      <c r="GR31"/>
      <c r="GS31"/>
      <c r="GT31"/>
      <c r="GU31"/>
      <c r="GV31"/>
      <c r="GW31"/>
      <c r="GX31"/>
      <c r="GY31"/>
      <c r="GZ31"/>
      <c r="HA31"/>
      <c r="HB31"/>
      <c r="HC31"/>
      <c r="HD31"/>
      <c r="HE31"/>
      <c r="HF31"/>
      <c r="HG31"/>
      <c r="HH31"/>
      <c r="HI31"/>
      <c r="HJ31"/>
      <c r="HK31"/>
      <c r="HL31"/>
      <c r="HM31"/>
      <c r="HN31"/>
      <c r="HO31"/>
      <c r="HP31"/>
      <c r="HQ31"/>
      <c r="HR31"/>
      <c r="HS31"/>
      <c r="HT31"/>
      <c r="HU31"/>
      <c r="HV31"/>
      <c r="HW31"/>
      <c r="HX31"/>
      <c r="HY31"/>
      <c r="HZ31"/>
      <c r="IA31"/>
      <c r="IB31"/>
      <c r="IC31"/>
      <c r="ID31"/>
      <c r="IE31"/>
      <c r="IF31"/>
      <c r="IG31"/>
      <c r="IH31"/>
      <c r="II31"/>
      <c r="IJ31"/>
      <c r="IK31"/>
      <c r="IL31"/>
      <c r="IM31"/>
      <c r="IN31"/>
      <c r="IO31"/>
      <c r="IP31"/>
      <c r="IQ31"/>
      <c r="IR31"/>
      <c r="IS31"/>
      <c r="IT31"/>
      <c r="IU31"/>
    </row>
    <row r="32" spans="1:255" s="428" customFormat="1" ht="16.5" customHeight="1" x14ac:dyDescent="0.35">
      <c r="A32" s="116"/>
      <c r="B32" s="96"/>
      <c r="C32" s="445"/>
      <c r="D32" s="98"/>
      <c r="E32" s="98"/>
      <c r="F32" s="446"/>
      <c r="G32" s="213"/>
      <c r="H32" s="100"/>
      <c r="I32" s="98"/>
      <c r="J32" s="99"/>
      <c r="K32" s="98"/>
      <c r="L32" s="141"/>
      <c r="M32" s="98"/>
      <c r="N32" s="141"/>
      <c r="O32" s="98"/>
      <c r="P32" s="99"/>
      <c r="Q32" s="99"/>
      <c r="R32" s="100"/>
      <c r="S32" s="98"/>
      <c r="T32" s="480" t="s">
        <v>681</v>
      </c>
      <c r="U32" s="481" t="s">
        <v>676</v>
      </c>
      <c r="V32" s="482">
        <f t="shared" si="4"/>
        <v>3</v>
      </c>
      <c r="W32" s="483">
        <v>4.9800000000000004</v>
      </c>
      <c r="X32" s="483"/>
      <c r="Y32" s="484"/>
      <c r="Z32" s="485">
        <v>0.26</v>
      </c>
      <c r="AA32" s="486">
        <f t="shared" si="5"/>
        <v>6.2748000000000008</v>
      </c>
      <c r="AB32" s="487">
        <v>1390000</v>
      </c>
      <c r="AC32" s="487">
        <f t="shared" si="6"/>
        <v>26165916.000000007</v>
      </c>
      <c r="AD32" s="226"/>
      <c r="AE32" s="424"/>
      <c r="AF32" s="99"/>
      <c r="AG32" s="98"/>
      <c r="AH32" s="99"/>
      <c r="AI32" s="98"/>
      <c r="AJ32" s="113"/>
      <c r="AK32" s="447"/>
      <c r="AL32" s="103"/>
      <c r="AM32" s="103"/>
      <c r="AN32" s="102"/>
      <c r="AO32"/>
      <c r="AP32"/>
      <c r="AQ32"/>
      <c r="AR32"/>
      <c r="AS32"/>
      <c r="AT32"/>
      <c r="AU32"/>
      <c r="AV32"/>
      <c r="AW32"/>
      <c r="AX32"/>
      <c r="AY32"/>
      <c r="AZ32"/>
      <c r="BA32"/>
      <c r="BB32"/>
      <c r="BC32"/>
      <c r="BD32"/>
      <c r="BE32"/>
      <c r="BF32"/>
      <c r="BG32"/>
      <c r="BH32"/>
      <c r="BI32"/>
      <c r="BJ32"/>
      <c r="BK32"/>
      <c r="BL32"/>
      <c r="BM32"/>
      <c r="BN32"/>
      <c r="BO32"/>
      <c r="BP32"/>
      <c r="BQ32"/>
      <c r="BR32"/>
      <c r="BS32"/>
      <c r="BT32"/>
      <c r="BU32"/>
      <c r="BV32"/>
      <c r="BW32"/>
      <c r="BX32"/>
      <c r="BY32"/>
      <c r="BZ32"/>
      <c r="CA32"/>
      <c r="CB32"/>
      <c r="CC32"/>
      <c r="CD32"/>
      <c r="CE32"/>
      <c r="CF32"/>
      <c r="CG32"/>
      <c r="CH32"/>
      <c r="CI32"/>
      <c r="CJ32"/>
      <c r="CK32"/>
      <c r="CL32"/>
      <c r="CM32"/>
      <c r="CN32"/>
      <c r="CO32"/>
      <c r="CP32"/>
      <c r="CQ32"/>
      <c r="CR32"/>
      <c r="CS32"/>
      <c r="CT32"/>
      <c r="CU32"/>
      <c r="CV32"/>
      <c r="CW32"/>
      <c r="CX32"/>
      <c r="CY32"/>
      <c r="CZ32"/>
      <c r="DA32"/>
      <c r="DB32"/>
      <c r="DC32"/>
      <c r="DD32"/>
      <c r="DE32"/>
      <c r="DF32"/>
      <c r="DG32"/>
      <c r="DH32"/>
      <c r="DI32"/>
      <c r="DJ32"/>
      <c r="DK32"/>
      <c r="DL32"/>
      <c r="DM32"/>
      <c r="DN32"/>
      <c r="DO32"/>
      <c r="DP32"/>
      <c r="DQ32"/>
      <c r="DR32"/>
      <c r="DS32"/>
      <c r="DT32"/>
      <c r="DU32"/>
      <c r="DV32"/>
      <c r="DW32"/>
      <c r="DX32"/>
      <c r="DY32"/>
      <c r="DZ32"/>
      <c r="EA32"/>
      <c r="EB32"/>
      <c r="EC32"/>
      <c r="ED32"/>
      <c r="EE32"/>
      <c r="EF32"/>
      <c r="EG32"/>
      <c r="EH32"/>
      <c r="EI32"/>
      <c r="EJ32"/>
      <c r="EK32"/>
      <c r="EL32"/>
      <c r="EM32"/>
      <c r="EN32"/>
      <c r="EO32"/>
      <c r="EP32"/>
      <c r="EQ32"/>
      <c r="ER32"/>
      <c r="ES32"/>
      <c r="ET32"/>
      <c r="EU32"/>
      <c r="EV32"/>
      <c r="EW32"/>
      <c r="EX32"/>
      <c r="EY32"/>
      <c r="EZ32"/>
      <c r="FA32"/>
      <c r="FB32"/>
      <c r="FC32"/>
      <c r="FD32"/>
      <c r="FE32"/>
      <c r="FF32"/>
      <c r="FG32"/>
      <c r="FH32"/>
      <c r="FI32"/>
      <c r="FJ32"/>
      <c r="FK32"/>
      <c r="FL32"/>
      <c r="FM32"/>
      <c r="FN32"/>
      <c r="FO32"/>
      <c r="FP32"/>
      <c r="FQ32"/>
      <c r="FR32"/>
      <c r="FS32"/>
      <c r="FT32"/>
      <c r="FU32"/>
      <c r="FV32"/>
      <c r="FW32"/>
      <c r="FX32"/>
      <c r="FY32"/>
      <c r="FZ32"/>
      <c r="GA32"/>
      <c r="GB32"/>
      <c r="GC32"/>
      <c r="GD32"/>
      <c r="GE32"/>
      <c r="GF32"/>
      <c r="GG32"/>
      <c r="GH32"/>
      <c r="GI32"/>
      <c r="GJ32"/>
      <c r="GK32"/>
      <c r="GL32"/>
      <c r="GM32"/>
      <c r="GN32"/>
      <c r="GO32"/>
      <c r="GP32"/>
      <c r="GQ32"/>
      <c r="GR32"/>
      <c r="GS32"/>
      <c r="GT32"/>
      <c r="GU32"/>
      <c r="GV32"/>
      <c r="GW32"/>
      <c r="GX32"/>
      <c r="GY32"/>
      <c r="GZ32"/>
      <c r="HA32"/>
      <c r="HB32"/>
      <c r="HC32"/>
      <c r="HD32"/>
      <c r="HE32"/>
      <c r="HF32"/>
      <c r="HG32"/>
      <c r="HH32"/>
      <c r="HI32"/>
      <c r="HJ32"/>
      <c r="HK32"/>
      <c r="HL32"/>
      <c r="HM32"/>
      <c r="HN32"/>
      <c r="HO32"/>
      <c r="HP32"/>
      <c r="HQ32"/>
      <c r="HR32"/>
      <c r="HS32"/>
      <c r="HT32"/>
      <c r="HU32"/>
      <c r="HV32"/>
      <c r="HW32"/>
      <c r="HX32"/>
      <c r="HY32"/>
      <c r="HZ32"/>
      <c r="IA32"/>
      <c r="IB32"/>
      <c r="IC32"/>
      <c r="ID32"/>
      <c r="IE32"/>
      <c r="IF32"/>
      <c r="IG32"/>
      <c r="IH32"/>
      <c r="II32"/>
      <c r="IJ32"/>
      <c r="IK32"/>
      <c r="IL32"/>
      <c r="IM32"/>
      <c r="IN32"/>
      <c r="IO32"/>
      <c r="IP32"/>
      <c r="IQ32"/>
      <c r="IR32"/>
      <c r="IS32"/>
      <c r="IT32"/>
      <c r="IU32"/>
    </row>
    <row r="33" spans="1:255" s="428" customFormat="1" ht="16.5" customHeight="1" x14ac:dyDescent="0.35">
      <c r="A33" s="116"/>
      <c r="B33" s="96"/>
      <c r="C33" s="445"/>
      <c r="D33" s="98"/>
      <c r="E33" s="98"/>
      <c r="F33" s="446"/>
      <c r="G33" s="213"/>
      <c r="H33" s="100"/>
      <c r="I33" s="98"/>
      <c r="J33" s="99"/>
      <c r="K33" s="98"/>
      <c r="L33" s="141"/>
      <c r="M33" s="98"/>
      <c r="N33" s="141"/>
      <c r="O33" s="98"/>
      <c r="P33" s="99"/>
      <c r="Q33" s="99"/>
      <c r="R33" s="100"/>
      <c r="S33" s="98"/>
      <c r="T33" s="480" t="s">
        <v>677</v>
      </c>
      <c r="U33" s="481" t="s">
        <v>682</v>
      </c>
      <c r="V33" s="482">
        <f t="shared" si="4"/>
        <v>9</v>
      </c>
      <c r="W33" s="483">
        <v>4.9800000000000004</v>
      </c>
      <c r="X33" s="483"/>
      <c r="Y33" s="484"/>
      <c r="Z33" s="485">
        <v>0.26</v>
      </c>
      <c r="AA33" s="486">
        <f t="shared" si="5"/>
        <v>6.2748000000000008</v>
      </c>
      <c r="AB33" s="487">
        <v>1490000</v>
      </c>
      <c r="AC33" s="487">
        <f t="shared" si="6"/>
        <v>84145068.000000015</v>
      </c>
      <c r="AD33" s="226"/>
      <c r="AE33" s="424"/>
      <c r="AF33" s="99"/>
      <c r="AG33" s="98"/>
      <c r="AH33" s="99"/>
      <c r="AI33" s="98"/>
      <c r="AJ33" s="113"/>
      <c r="AK33" s="447"/>
      <c r="AL33" s="103"/>
      <c r="AM33" s="103"/>
      <c r="AN33" s="102"/>
      <c r="AO33"/>
      <c r="AP33"/>
      <c r="AQ33"/>
      <c r="AR33"/>
      <c r="AS33"/>
      <c r="AT33"/>
      <c r="AU33"/>
      <c r="AV33"/>
      <c r="AW33"/>
      <c r="AX33"/>
      <c r="AY33"/>
      <c r="AZ33"/>
      <c r="BA33"/>
      <c r="BB33"/>
      <c r="BC33"/>
      <c r="BD33"/>
      <c r="BE33"/>
      <c r="BF33"/>
      <c r="BG33"/>
      <c r="BH33"/>
      <c r="BI33"/>
      <c r="BJ33"/>
      <c r="BK33"/>
      <c r="BL33"/>
      <c r="BM33"/>
      <c r="BN33"/>
      <c r="BO33"/>
      <c r="BP33"/>
      <c r="BQ33"/>
      <c r="BR33"/>
      <c r="BS33"/>
      <c r="BT33"/>
      <c r="BU33"/>
      <c r="BV33"/>
      <c r="BW33"/>
      <c r="BX33"/>
      <c r="BY33"/>
      <c r="BZ33"/>
      <c r="CA33"/>
      <c r="CB33"/>
      <c r="CC33"/>
      <c r="CD33"/>
      <c r="CE33"/>
      <c r="CF33"/>
      <c r="CG33"/>
      <c r="CH33"/>
      <c r="CI33"/>
      <c r="CJ33"/>
      <c r="CK33"/>
      <c r="CL33"/>
      <c r="CM33"/>
      <c r="CN33"/>
      <c r="CO33"/>
      <c r="CP33"/>
      <c r="CQ33"/>
      <c r="CR33"/>
      <c r="CS33"/>
      <c r="CT33"/>
      <c r="CU33"/>
      <c r="CV33"/>
      <c r="CW33"/>
      <c r="CX33"/>
      <c r="CY33"/>
      <c r="CZ33"/>
      <c r="DA33"/>
      <c r="DB33"/>
      <c r="DC33"/>
      <c r="DD33"/>
      <c r="DE33"/>
      <c r="DF33"/>
      <c r="DG33"/>
      <c r="DH33"/>
      <c r="DI33"/>
      <c r="DJ33"/>
      <c r="DK33"/>
      <c r="DL33"/>
      <c r="DM33"/>
      <c r="DN33"/>
      <c r="DO33"/>
      <c r="DP33"/>
      <c r="DQ33"/>
      <c r="DR33"/>
      <c r="DS33"/>
      <c r="DT33"/>
      <c r="DU33"/>
      <c r="DV33"/>
      <c r="DW33"/>
      <c r="DX33"/>
      <c r="DY33"/>
      <c r="DZ33"/>
      <c r="EA33"/>
      <c r="EB33"/>
      <c r="EC33"/>
      <c r="ED33"/>
      <c r="EE33"/>
      <c r="EF33"/>
      <c r="EG33"/>
      <c r="EH33"/>
      <c r="EI33"/>
      <c r="EJ33"/>
      <c r="EK33"/>
      <c r="EL33"/>
      <c r="EM33"/>
      <c r="EN33"/>
      <c r="EO33"/>
      <c r="EP33"/>
      <c r="EQ33"/>
      <c r="ER33"/>
      <c r="ES33"/>
      <c r="ET33"/>
      <c r="EU33"/>
      <c r="EV33"/>
      <c r="EW33"/>
      <c r="EX33"/>
      <c r="EY33"/>
      <c r="EZ33"/>
      <c r="FA33"/>
      <c r="FB33"/>
      <c r="FC33"/>
      <c r="FD33"/>
      <c r="FE33"/>
      <c r="FF33"/>
      <c r="FG33"/>
      <c r="FH33"/>
      <c r="FI33"/>
      <c r="FJ33"/>
      <c r="FK33"/>
      <c r="FL33"/>
      <c r="FM33"/>
      <c r="FN33"/>
      <c r="FO33"/>
      <c r="FP33"/>
      <c r="FQ33"/>
      <c r="FR33"/>
      <c r="FS33"/>
      <c r="FT33"/>
      <c r="FU33"/>
      <c r="FV33"/>
      <c r="FW33"/>
      <c r="FX33"/>
      <c r="FY33"/>
      <c r="FZ33"/>
      <c r="GA33"/>
      <c r="GB33"/>
      <c r="GC33"/>
      <c r="GD33"/>
      <c r="GE33"/>
      <c r="GF33"/>
      <c r="GG33"/>
      <c r="GH33"/>
      <c r="GI33"/>
      <c r="GJ33"/>
      <c r="GK33"/>
      <c r="GL33"/>
      <c r="GM33"/>
      <c r="GN33"/>
      <c r="GO33"/>
      <c r="GP33"/>
      <c r="GQ33"/>
      <c r="GR33"/>
      <c r="GS33"/>
      <c r="GT33"/>
      <c r="GU33"/>
      <c r="GV33"/>
      <c r="GW33"/>
      <c r="GX33"/>
      <c r="GY33"/>
      <c r="GZ33"/>
      <c r="HA33"/>
      <c r="HB33"/>
      <c r="HC33"/>
      <c r="HD33"/>
      <c r="HE33"/>
      <c r="HF33"/>
      <c r="HG33"/>
      <c r="HH33"/>
      <c r="HI33"/>
      <c r="HJ33"/>
      <c r="HK33"/>
      <c r="HL33"/>
      <c r="HM33"/>
      <c r="HN33"/>
      <c r="HO33"/>
      <c r="HP33"/>
      <c r="HQ33"/>
      <c r="HR33"/>
      <c r="HS33"/>
      <c r="HT33"/>
      <c r="HU33"/>
      <c r="HV33"/>
      <c r="HW33"/>
      <c r="HX33"/>
      <c r="HY33"/>
      <c r="HZ33"/>
      <c r="IA33"/>
      <c r="IB33"/>
      <c r="IC33"/>
      <c r="ID33"/>
      <c r="IE33"/>
      <c r="IF33"/>
      <c r="IG33"/>
      <c r="IH33"/>
      <c r="II33"/>
      <c r="IJ33"/>
      <c r="IK33"/>
      <c r="IL33"/>
      <c r="IM33"/>
      <c r="IN33"/>
      <c r="IO33"/>
      <c r="IP33"/>
      <c r="IQ33"/>
      <c r="IR33"/>
      <c r="IS33"/>
      <c r="IT33"/>
      <c r="IU33"/>
    </row>
    <row r="34" spans="1:255" s="428" customFormat="1" ht="16.5" customHeight="1" x14ac:dyDescent="0.35">
      <c r="A34" s="116"/>
      <c r="B34" s="96"/>
      <c r="C34" s="445"/>
      <c r="D34" s="98"/>
      <c r="E34" s="98"/>
      <c r="F34" s="446"/>
      <c r="G34" s="213"/>
      <c r="H34" s="100"/>
      <c r="I34" s="98"/>
      <c r="J34" s="99"/>
      <c r="K34" s="98"/>
      <c r="L34" s="141"/>
      <c r="M34" s="98"/>
      <c r="N34" s="141"/>
      <c r="O34" s="98"/>
      <c r="P34" s="99"/>
      <c r="Q34" s="99"/>
      <c r="R34" s="100"/>
      <c r="S34" s="98"/>
      <c r="T34" s="480" t="s">
        <v>683</v>
      </c>
      <c r="U34" s="481" t="s">
        <v>684</v>
      </c>
      <c r="V34" s="482">
        <f t="shared" si="4"/>
        <v>12</v>
      </c>
      <c r="W34" s="483">
        <v>4.9800000000000004</v>
      </c>
      <c r="X34" s="483"/>
      <c r="Y34" s="533">
        <v>0.05</v>
      </c>
      <c r="Z34" s="534">
        <v>0.27</v>
      </c>
      <c r="AA34" s="535">
        <f t="shared" si="5"/>
        <v>6.6408300000000002</v>
      </c>
      <c r="AB34" s="536">
        <v>1490000</v>
      </c>
      <c r="AC34" s="536">
        <f t="shared" si="6"/>
        <v>118738040.40000001</v>
      </c>
      <c r="AD34" s="226"/>
      <c r="AE34" s="424"/>
      <c r="AF34" s="99"/>
      <c r="AG34" s="98"/>
      <c r="AH34" s="99"/>
      <c r="AI34" s="98"/>
      <c r="AJ34" s="113"/>
      <c r="AK34" s="447"/>
      <c r="AL34" s="103"/>
      <c r="AM34" s="103"/>
      <c r="AN34" s="102"/>
      <c r="AO34"/>
      <c r="AP34"/>
      <c r="AQ34"/>
      <c r="AR34"/>
      <c r="AS34"/>
      <c r="AT34"/>
      <c r="AU34"/>
      <c r="AV34"/>
      <c r="AW34"/>
      <c r="AX34"/>
      <c r="AY34"/>
      <c r="AZ34"/>
      <c r="BA34"/>
      <c r="BB34"/>
      <c r="BC34"/>
      <c r="BD34"/>
      <c r="BE34"/>
      <c r="BF34"/>
      <c r="BG34"/>
      <c r="BH34"/>
      <c r="BI34"/>
      <c r="BJ34"/>
      <c r="BK34"/>
      <c r="BL34"/>
      <c r="BM34"/>
      <c r="BN34"/>
      <c r="BO34"/>
      <c r="BP34"/>
      <c r="BQ34"/>
      <c r="BR34"/>
      <c r="BS34"/>
      <c r="BT34"/>
      <c r="BU34"/>
      <c r="BV34"/>
      <c r="BW34"/>
      <c r="BX34"/>
      <c r="BY34"/>
      <c r="BZ34"/>
      <c r="CA34"/>
      <c r="CB34"/>
      <c r="CC34"/>
      <c r="CD34"/>
      <c r="CE34"/>
      <c r="CF34"/>
      <c r="CG34"/>
      <c r="CH34"/>
      <c r="CI34"/>
      <c r="CJ34"/>
      <c r="CK34"/>
      <c r="CL34"/>
      <c r="CM34"/>
      <c r="CN34"/>
      <c r="CO34"/>
      <c r="CP34"/>
      <c r="CQ34"/>
      <c r="CR34"/>
      <c r="CS34"/>
      <c r="CT34"/>
      <c r="CU34"/>
      <c r="CV34"/>
      <c r="CW34"/>
      <c r="CX34"/>
      <c r="CY34"/>
      <c r="CZ34"/>
      <c r="DA34"/>
      <c r="DB34"/>
      <c r="DC34"/>
      <c r="DD34"/>
      <c r="DE34"/>
      <c r="DF34"/>
      <c r="DG34"/>
      <c r="DH34"/>
      <c r="DI34"/>
      <c r="DJ34"/>
      <c r="DK34"/>
      <c r="DL34"/>
      <c r="DM34"/>
      <c r="DN34"/>
      <c r="DO34"/>
      <c r="DP34"/>
      <c r="DQ34"/>
      <c r="DR34"/>
      <c r="DS34"/>
      <c r="DT34"/>
      <c r="DU34"/>
      <c r="DV34"/>
      <c r="DW34"/>
      <c r="DX34"/>
      <c r="DY34"/>
      <c r="DZ34"/>
      <c r="EA34"/>
      <c r="EB34"/>
      <c r="EC34"/>
      <c r="ED34"/>
      <c r="EE34"/>
      <c r="EF34"/>
      <c r="EG34"/>
      <c r="EH34"/>
      <c r="EI34"/>
      <c r="EJ34"/>
      <c r="EK34"/>
      <c r="EL34"/>
      <c r="EM34"/>
      <c r="EN34"/>
      <c r="EO34"/>
      <c r="EP34"/>
      <c r="EQ34"/>
      <c r="ER34"/>
      <c r="ES34"/>
      <c r="ET34"/>
      <c r="EU34"/>
      <c r="EV34"/>
      <c r="EW34"/>
      <c r="EX34"/>
      <c r="EY34"/>
      <c r="EZ34"/>
      <c r="FA34"/>
      <c r="FB34"/>
      <c r="FC34"/>
      <c r="FD34"/>
      <c r="FE34"/>
      <c r="FF34"/>
      <c r="FG34"/>
      <c r="FH34"/>
      <c r="FI34"/>
      <c r="FJ34"/>
      <c r="FK34"/>
      <c r="FL34"/>
      <c r="FM34"/>
      <c r="FN34"/>
      <c r="FO34"/>
      <c r="FP34"/>
      <c r="FQ34"/>
      <c r="FR34"/>
      <c r="FS34"/>
      <c r="FT34"/>
      <c r="FU34"/>
      <c r="FV34"/>
      <c r="FW34"/>
      <c r="FX34"/>
      <c r="FY34"/>
      <c r="FZ34"/>
      <c r="GA34"/>
      <c r="GB34"/>
      <c r="GC34"/>
      <c r="GD34"/>
      <c r="GE34"/>
      <c r="GF34"/>
      <c r="GG34"/>
      <c r="GH34"/>
      <c r="GI34"/>
      <c r="GJ34"/>
      <c r="GK34"/>
      <c r="GL34"/>
      <c r="GM34"/>
      <c r="GN34"/>
      <c r="GO34"/>
      <c r="GP34"/>
      <c r="GQ34"/>
      <c r="GR34"/>
      <c r="GS34"/>
      <c r="GT34"/>
      <c r="GU34"/>
      <c r="GV34"/>
      <c r="GW34"/>
      <c r="GX34"/>
      <c r="GY34"/>
      <c r="GZ34"/>
      <c r="HA34"/>
      <c r="HB34"/>
      <c r="HC34"/>
      <c r="HD34"/>
      <c r="HE34"/>
      <c r="HF34"/>
      <c r="HG34"/>
      <c r="HH34"/>
      <c r="HI34"/>
      <c r="HJ34"/>
      <c r="HK34"/>
      <c r="HL34"/>
      <c r="HM34"/>
      <c r="HN34"/>
      <c r="HO34"/>
      <c r="HP34"/>
      <c r="HQ34"/>
      <c r="HR34"/>
      <c r="HS34"/>
      <c r="HT34"/>
      <c r="HU34"/>
      <c r="HV34"/>
      <c r="HW34"/>
      <c r="HX34"/>
      <c r="HY34"/>
      <c r="HZ34"/>
      <c r="IA34"/>
      <c r="IB34"/>
      <c r="IC34"/>
      <c r="ID34"/>
      <c r="IE34"/>
      <c r="IF34"/>
      <c r="IG34"/>
      <c r="IH34"/>
      <c r="II34"/>
      <c r="IJ34"/>
      <c r="IK34"/>
      <c r="IL34"/>
      <c r="IM34"/>
      <c r="IN34"/>
      <c r="IO34"/>
      <c r="IP34"/>
      <c r="IQ34"/>
      <c r="IR34"/>
      <c r="IS34"/>
      <c r="IT34"/>
      <c r="IU34"/>
    </row>
    <row r="35" spans="1:255" s="428" customFormat="1" ht="16.5" customHeight="1" x14ac:dyDescent="0.35">
      <c r="A35" s="116"/>
      <c r="B35" s="96"/>
      <c r="C35" s="445"/>
      <c r="D35" s="98"/>
      <c r="E35" s="98"/>
      <c r="F35" s="446"/>
      <c r="G35" s="213"/>
      <c r="H35" s="100"/>
      <c r="I35" s="98"/>
      <c r="J35" s="99"/>
      <c r="K35" s="98"/>
      <c r="L35" s="141"/>
      <c r="M35" s="98"/>
      <c r="N35" s="141"/>
      <c r="O35" s="98"/>
      <c r="P35" s="99"/>
      <c r="Q35" s="99"/>
      <c r="R35" s="100"/>
      <c r="S35" s="98"/>
      <c r="T35" s="480" t="s">
        <v>685</v>
      </c>
      <c r="U35" s="481" t="s">
        <v>686</v>
      </c>
      <c r="V35" s="482">
        <f t="shared" si="4"/>
        <v>12</v>
      </c>
      <c r="W35" s="483">
        <v>4.9800000000000004</v>
      </c>
      <c r="X35" s="483"/>
      <c r="Y35" s="533">
        <v>0.06</v>
      </c>
      <c r="Z35" s="534">
        <v>0.28000000000000003</v>
      </c>
      <c r="AA35" s="535">
        <f t="shared" si="5"/>
        <v>6.7568640000000002</v>
      </c>
      <c r="AB35" s="536">
        <v>1490000</v>
      </c>
      <c r="AC35" s="536">
        <f t="shared" si="6"/>
        <v>120812728.32000001</v>
      </c>
      <c r="AD35" s="226"/>
      <c r="AE35" s="424"/>
      <c r="AF35" s="99"/>
      <c r="AG35" s="98"/>
      <c r="AH35" s="99"/>
      <c r="AI35" s="98"/>
      <c r="AJ35" s="113"/>
      <c r="AK35" s="447"/>
      <c r="AL35" s="103"/>
      <c r="AM35" s="103"/>
      <c r="AN35" s="102"/>
      <c r="AO35"/>
      <c r="AP35"/>
      <c r="AQ35"/>
      <c r="AR35"/>
      <c r="AS35"/>
      <c r="AT35"/>
      <c r="AU35"/>
      <c r="AV35"/>
      <c r="AW35"/>
      <c r="AX35"/>
      <c r="AY35"/>
      <c r="AZ35"/>
      <c r="BA35"/>
      <c r="BB35"/>
      <c r="BC35"/>
      <c r="BD35"/>
      <c r="BE35"/>
      <c r="BF35"/>
      <c r="BG35"/>
      <c r="BH35"/>
      <c r="BI35"/>
      <c r="BJ35"/>
      <c r="BK35"/>
      <c r="BL35"/>
      <c r="BM35"/>
      <c r="BN35"/>
      <c r="BO35"/>
      <c r="BP35"/>
      <c r="BQ35"/>
      <c r="BR35"/>
      <c r="BS35"/>
      <c r="BT35"/>
      <c r="BU35"/>
      <c r="BV35"/>
      <c r="BW35"/>
      <c r="BX35"/>
      <c r="BY35"/>
      <c r="BZ35"/>
      <c r="CA35"/>
      <c r="CB35"/>
      <c r="CC35"/>
      <c r="CD35"/>
      <c r="CE35"/>
      <c r="CF35"/>
      <c r="CG35"/>
      <c r="CH35"/>
      <c r="CI35"/>
      <c r="CJ35"/>
      <c r="CK35"/>
      <c r="CL35"/>
      <c r="CM35"/>
      <c r="CN35"/>
      <c r="CO35"/>
      <c r="CP35"/>
      <c r="CQ35"/>
      <c r="CR35"/>
      <c r="CS35"/>
      <c r="CT35"/>
      <c r="CU35"/>
      <c r="CV35"/>
      <c r="CW35"/>
      <c r="CX35"/>
      <c r="CY35"/>
      <c r="CZ35"/>
      <c r="DA35"/>
      <c r="DB35"/>
      <c r="DC35"/>
      <c r="DD35"/>
      <c r="DE35"/>
      <c r="DF35"/>
      <c r="DG35"/>
      <c r="DH35"/>
      <c r="DI35"/>
      <c r="DJ35"/>
      <c r="DK35"/>
      <c r="DL35"/>
      <c r="DM35"/>
      <c r="DN35"/>
      <c r="DO35"/>
      <c r="DP35"/>
      <c r="DQ35"/>
      <c r="DR35"/>
      <c r="DS35"/>
      <c r="DT35"/>
      <c r="DU35"/>
      <c r="DV35"/>
      <c r="DW35"/>
      <c r="DX35"/>
      <c r="DY35"/>
      <c r="DZ35"/>
      <c r="EA35"/>
      <c r="EB35"/>
      <c r="EC35"/>
      <c r="ED35"/>
      <c r="EE35"/>
      <c r="EF35"/>
      <c r="EG35"/>
      <c r="EH35"/>
      <c r="EI35"/>
      <c r="EJ35"/>
      <c r="EK35"/>
      <c r="EL35"/>
      <c r="EM35"/>
      <c r="EN35"/>
      <c r="EO35"/>
      <c r="EP35"/>
      <c r="EQ35"/>
      <c r="ER35"/>
      <c r="ES35"/>
      <c r="ET35"/>
      <c r="EU35"/>
      <c r="EV35"/>
      <c r="EW35"/>
      <c r="EX35"/>
      <c r="EY35"/>
      <c r="EZ35"/>
      <c r="FA35"/>
      <c r="FB35"/>
      <c r="FC35"/>
      <c r="FD35"/>
      <c r="FE35"/>
      <c r="FF35"/>
      <c r="FG35"/>
      <c r="FH35"/>
      <c r="FI35"/>
      <c r="FJ35"/>
      <c r="FK35"/>
      <c r="FL35"/>
      <c r="FM35"/>
      <c r="FN35"/>
      <c r="FO35"/>
      <c r="FP35"/>
      <c r="FQ35"/>
      <c r="FR35"/>
      <c r="FS35"/>
      <c r="FT35"/>
      <c r="FU35"/>
      <c r="FV35"/>
      <c r="FW35"/>
      <c r="FX35"/>
      <c r="FY35"/>
      <c r="FZ35"/>
      <c r="GA35"/>
      <c r="GB35"/>
      <c r="GC35"/>
      <c r="GD35"/>
      <c r="GE35"/>
      <c r="GF35"/>
      <c r="GG35"/>
      <c r="GH35"/>
      <c r="GI35"/>
      <c r="GJ35"/>
      <c r="GK35"/>
      <c r="GL35"/>
      <c r="GM35"/>
      <c r="GN35"/>
      <c r="GO35"/>
      <c r="GP35"/>
      <c r="GQ35"/>
      <c r="GR35"/>
      <c r="GS35"/>
      <c r="GT35"/>
      <c r="GU35"/>
      <c r="GV35"/>
      <c r="GW35"/>
      <c r="GX35"/>
      <c r="GY35"/>
      <c r="GZ35"/>
      <c r="HA35"/>
      <c r="HB35"/>
      <c r="HC35"/>
      <c r="HD35"/>
      <c r="HE35"/>
      <c r="HF35"/>
      <c r="HG35"/>
      <c r="HH35"/>
      <c r="HI35"/>
      <c r="HJ35"/>
      <c r="HK35"/>
      <c r="HL35"/>
      <c r="HM35"/>
      <c r="HN35"/>
      <c r="HO35"/>
      <c r="HP35"/>
      <c r="HQ35"/>
      <c r="HR35"/>
      <c r="HS35"/>
      <c r="HT35"/>
      <c r="HU35"/>
      <c r="HV35"/>
      <c r="HW35"/>
      <c r="HX35"/>
      <c r="HY35"/>
      <c r="HZ35"/>
      <c r="IA35"/>
      <c r="IB35"/>
      <c r="IC35"/>
      <c r="ID35"/>
      <c r="IE35"/>
      <c r="IF35"/>
      <c r="IG35"/>
      <c r="IH35"/>
      <c r="II35"/>
      <c r="IJ35"/>
      <c r="IK35"/>
      <c r="IL35"/>
      <c r="IM35"/>
      <c r="IN35"/>
      <c r="IO35"/>
      <c r="IP35"/>
      <c r="IQ35"/>
      <c r="IR35"/>
      <c r="IS35"/>
      <c r="IT35"/>
      <c r="IU35"/>
    </row>
    <row r="36" spans="1:255" s="428" customFormat="1" ht="16.5" customHeight="1" x14ac:dyDescent="0.35">
      <c r="A36" s="116"/>
      <c r="B36" s="96"/>
      <c r="C36" s="445"/>
      <c r="D36" s="98"/>
      <c r="E36" s="98"/>
      <c r="F36" s="446"/>
      <c r="G36" s="213"/>
      <c r="H36" s="100"/>
      <c r="I36" s="98"/>
      <c r="J36" s="99"/>
      <c r="K36" s="98"/>
      <c r="L36" s="141"/>
      <c r="M36" s="98"/>
      <c r="N36" s="141"/>
      <c r="O36" s="98"/>
      <c r="P36" s="99"/>
      <c r="Q36" s="99"/>
      <c r="R36" s="100"/>
      <c r="S36" s="98"/>
      <c r="T36" s="480" t="s">
        <v>687</v>
      </c>
      <c r="U36" s="481">
        <v>44742</v>
      </c>
      <c r="V36" s="482">
        <f t="shared" ref="V36" si="7">ROUND(DAYS360(T36,U36,0)/30,0)</f>
        <v>3</v>
      </c>
      <c r="W36" s="483">
        <v>4.9800000000000004</v>
      </c>
      <c r="X36" s="483"/>
      <c r="Y36" s="484">
        <v>7.0000000000000007E-2</v>
      </c>
      <c r="Z36" s="485">
        <v>0.28999999999999998</v>
      </c>
      <c r="AA36" s="486">
        <f t="shared" ref="AA36" si="8">W36+X36+Y36*W36+(W36+X36+Y36*W36)*Z36</f>
        <v>6.8738940000000008</v>
      </c>
      <c r="AB36" s="487">
        <v>1490000</v>
      </c>
      <c r="AC36" s="487">
        <f t="shared" ref="AC36" si="9">V36*AA36*AB36</f>
        <v>30726306.180000003</v>
      </c>
      <c r="AD36" s="226"/>
      <c r="AE36" s="424"/>
      <c r="AF36" s="99"/>
      <c r="AG36" s="98"/>
      <c r="AH36" s="99"/>
      <c r="AI36" s="98"/>
      <c r="AJ36" s="113"/>
      <c r="AK36" s="447"/>
      <c r="AL36" s="103"/>
      <c r="AM36" s="103"/>
      <c r="AN36" s="102"/>
      <c r="AO36"/>
      <c r="AP36"/>
      <c r="AQ36"/>
      <c r="AR36"/>
      <c r="AS36"/>
      <c r="AT36"/>
      <c r="AU36"/>
      <c r="AV36"/>
      <c r="AW36"/>
      <c r="AX36"/>
      <c r="AY36"/>
      <c r="AZ36"/>
      <c r="BA36"/>
      <c r="BB36"/>
      <c r="BC36"/>
      <c r="BD36"/>
      <c r="BE36"/>
      <c r="BF36"/>
      <c r="BG36"/>
      <c r="BH36"/>
      <c r="BI36"/>
      <c r="BJ36"/>
      <c r="BK36"/>
      <c r="BL36"/>
      <c r="BM36"/>
      <c r="BN36"/>
      <c r="BO36"/>
      <c r="BP36"/>
      <c r="BQ36"/>
      <c r="BR36"/>
      <c r="BS36"/>
      <c r="BT36"/>
      <c r="BU36"/>
      <c r="BV36"/>
      <c r="BW36"/>
      <c r="BX36"/>
      <c r="BY36"/>
      <c r="BZ36"/>
      <c r="CA36"/>
      <c r="CB36"/>
      <c r="CC36"/>
      <c r="CD36"/>
      <c r="CE36"/>
      <c r="CF36"/>
      <c r="CG36"/>
      <c r="CH36"/>
      <c r="CI36"/>
      <c r="CJ36"/>
      <c r="CK36"/>
      <c r="CL36"/>
      <c r="CM36"/>
      <c r="CN36"/>
      <c r="CO36"/>
      <c r="CP36"/>
      <c r="CQ36"/>
      <c r="CR36"/>
      <c r="CS36"/>
      <c r="CT36"/>
      <c r="CU36"/>
      <c r="CV36"/>
      <c r="CW36"/>
      <c r="CX36"/>
      <c r="CY36"/>
      <c r="CZ36"/>
      <c r="DA36"/>
      <c r="DB36"/>
      <c r="DC36"/>
      <c r="DD36"/>
      <c r="DE36"/>
      <c r="DF36"/>
      <c r="DG36"/>
      <c r="DH36"/>
      <c r="DI36"/>
      <c r="DJ36"/>
      <c r="DK36"/>
      <c r="DL36"/>
      <c r="DM36"/>
      <c r="DN36"/>
      <c r="DO36"/>
      <c r="DP36"/>
      <c r="DQ36"/>
      <c r="DR36"/>
      <c r="DS36"/>
      <c r="DT36"/>
      <c r="DU36"/>
      <c r="DV36"/>
      <c r="DW36"/>
      <c r="DX36"/>
      <c r="DY36"/>
      <c r="DZ36"/>
      <c r="EA36"/>
      <c r="EB36"/>
      <c r="EC36"/>
      <c r="ED36"/>
      <c r="EE36"/>
      <c r="EF36"/>
      <c r="EG36"/>
      <c r="EH36"/>
      <c r="EI36"/>
      <c r="EJ36"/>
      <c r="EK36"/>
      <c r="EL36"/>
      <c r="EM36"/>
      <c r="EN36"/>
      <c r="EO36"/>
      <c r="EP36"/>
      <c r="EQ36"/>
      <c r="ER36"/>
      <c r="ES36"/>
      <c r="ET36"/>
      <c r="EU36"/>
      <c r="EV36"/>
      <c r="EW36"/>
      <c r="EX36"/>
      <c r="EY36"/>
      <c r="EZ36"/>
      <c r="FA36"/>
      <c r="FB36"/>
      <c r="FC36"/>
      <c r="FD36"/>
      <c r="FE36"/>
      <c r="FF36"/>
      <c r="FG36"/>
      <c r="FH36"/>
      <c r="FI36"/>
      <c r="FJ36"/>
      <c r="FK36"/>
      <c r="FL36"/>
      <c r="FM36"/>
      <c r="FN36"/>
      <c r="FO36"/>
      <c r="FP36"/>
      <c r="FQ36"/>
      <c r="FR36"/>
      <c r="FS36"/>
      <c r="FT36"/>
      <c r="FU36"/>
      <c r="FV36"/>
      <c r="FW36"/>
      <c r="FX36"/>
      <c r="FY36"/>
      <c r="FZ36"/>
      <c r="GA36"/>
      <c r="GB36"/>
      <c r="GC36"/>
      <c r="GD36"/>
      <c r="GE36"/>
      <c r="GF36"/>
      <c r="GG36"/>
      <c r="GH36"/>
      <c r="GI36"/>
      <c r="GJ36"/>
      <c r="GK36"/>
      <c r="GL36"/>
      <c r="GM36"/>
      <c r="GN36"/>
      <c r="GO36"/>
      <c r="GP36"/>
      <c r="GQ36"/>
      <c r="GR36"/>
      <c r="GS36"/>
      <c r="GT36"/>
      <c r="GU36"/>
      <c r="GV36"/>
      <c r="GW36"/>
      <c r="GX36"/>
      <c r="GY36"/>
      <c r="GZ36"/>
      <c r="HA36"/>
      <c r="HB36"/>
      <c r="HC36"/>
      <c r="HD36"/>
      <c r="HE36"/>
      <c r="HF36"/>
      <c r="HG36"/>
      <c r="HH36"/>
      <c r="HI36"/>
      <c r="HJ36"/>
      <c r="HK36"/>
      <c r="HL36"/>
      <c r="HM36"/>
      <c r="HN36"/>
      <c r="HO36"/>
      <c r="HP36"/>
      <c r="HQ36"/>
      <c r="HR36"/>
      <c r="HS36"/>
      <c r="HT36"/>
      <c r="HU36"/>
      <c r="HV36"/>
      <c r="HW36"/>
      <c r="HX36"/>
      <c r="HY36"/>
      <c r="HZ36"/>
      <c r="IA36"/>
      <c r="IB36"/>
      <c r="IC36"/>
      <c r="ID36"/>
      <c r="IE36"/>
      <c r="IF36"/>
      <c r="IG36"/>
      <c r="IH36"/>
      <c r="II36"/>
      <c r="IJ36"/>
      <c r="IK36"/>
      <c r="IL36"/>
      <c r="IM36"/>
      <c r="IN36"/>
      <c r="IO36"/>
      <c r="IP36"/>
      <c r="IQ36"/>
      <c r="IR36"/>
      <c r="IS36"/>
      <c r="IT36"/>
      <c r="IU36"/>
    </row>
    <row r="37" spans="1:255" s="428" customFormat="1" ht="16.5" customHeight="1" x14ac:dyDescent="0.35">
      <c r="A37" s="116"/>
      <c r="B37" s="96"/>
      <c r="C37" s="445"/>
      <c r="D37" s="98"/>
      <c r="E37" s="98"/>
      <c r="F37" s="446"/>
      <c r="G37" s="213"/>
      <c r="H37" s="100"/>
      <c r="I37" s="98"/>
      <c r="J37" s="99"/>
      <c r="K37" s="98"/>
      <c r="L37" s="141"/>
      <c r="M37" s="98"/>
      <c r="N37" s="141"/>
      <c r="O37" s="98"/>
      <c r="P37" s="99"/>
      <c r="Q37" s="99"/>
      <c r="R37" s="100"/>
      <c r="S37" s="98"/>
      <c r="T37" s="480">
        <v>44896</v>
      </c>
      <c r="U37" s="481">
        <v>44925</v>
      </c>
      <c r="V37" s="482">
        <f t="shared" si="4"/>
        <v>1</v>
      </c>
      <c r="W37" s="483">
        <v>4.9800000000000004</v>
      </c>
      <c r="X37" s="483"/>
      <c r="Y37" s="484">
        <v>7.0000000000000007E-2</v>
      </c>
      <c r="Z37" s="485">
        <v>0.28999999999999998</v>
      </c>
      <c r="AA37" s="486">
        <f t="shared" si="5"/>
        <v>6.8738940000000008</v>
      </c>
      <c r="AB37" s="487">
        <v>1490000</v>
      </c>
      <c r="AC37" s="487">
        <f t="shared" si="6"/>
        <v>10242102.060000001</v>
      </c>
      <c r="AD37" s="226"/>
      <c r="AE37" s="424"/>
      <c r="AF37" s="99"/>
      <c r="AG37" s="98"/>
      <c r="AH37" s="99"/>
      <c r="AI37" s="98"/>
      <c r="AJ37" s="113"/>
      <c r="AK37" s="447"/>
      <c r="AL37" s="103"/>
      <c r="AM37" s="103"/>
      <c r="AN37" s="102"/>
      <c r="AO37"/>
      <c r="AP37"/>
      <c r="AQ37"/>
      <c r="AR37"/>
      <c r="AS37"/>
      <c r="AT37"/>
      <c r="AU37"/>
      <c r="AV37"/>
      <c r="AW37"/>
      <c r="AX37"/>
      <c r="AY37"/>
      <c r="AZ37"/>
      <c r="BA37"/>
      <c r="BB37"/>
      <c r="BC37"/>
      <c r="BD37"/>
      <c r="BE37"/>
      <c r="BF37"/>
      <c r="BG37"/>
      <c r="BH37"/>
      <c r="BI37"/>
      <c r="BJ37"/>
      <c r="BK37"/>
      <c r="BL37"/>
      <c r="BM37"/>
      <c r="BN37"/>
      <c r="BO37"/>
      <c r="BP37"/>
      <c r="BQ37"/>
      <c r="BR37"/>
      <c r="BS37"/>
      <c r="BT37"/>
      <c r="BU37"/>
      <c r="BV37"/>
      <c r="BW37"/>
      <c r="BX37"/>
      <c r="BY37"/>
      <c r="BZ37"/>
      <c r="CA37"/>
      <c r="CB37"/>
      <c r="CC37"/>
      <c r="CD37"/>
      <c r="CE37"/>
      <c r="CF37"/>
      <c r="CG37"/>
      <c r="CH37"/>
      <c r="CI37"/>
      <c r="CJ37"/>
      <c r="CK37"/>
      <c r="CL37"/>
      <c r="CM37"/>
      <c r="CN37"/>
      <c r="CO37"/>
      <c r="CP37"/>
      <c r="CQ37"/>
      <c r="CR37"/>
      <c r="CS37"/>
      <c r="CT37"/>
      <c r="CU37"/>
      <c r="CV37"/>
      <c r="CW37"/>
      <c r="CX37"/>
      <c r="CY37"/>
      <c r="CZ37"/>
      <c r="DA37"/>
      <c r="DB37"/>
      <c r="DC37"/>
      <c r="DD37"/>
      <c r="DE37"/>
      <c r="DF37"/>
      <c r="DG37"/>
      <c r="DH37"/>
      <c r="DI37"/>
      <c r="DJ37"/>
      <c r="DK37"/>
      <c r="DL37"/>
      <c r="DM37"/>
      <c r="DN37"/>
      <c r="DO37"/>
      <c r="DP37"/>
      <c r="DQ37"/>
      <c r="DR37"/>
      <c r="DS37"/>
      <c r="DT37"/>
      <c r="DU37"/>
      <c r="DV37"/>
      <c r="DW37"/>
      <c r="DX37"/>
      <c r="DY37"/>
      <c r="DZ37"/>
      <c r="EA37"/>
      <c r="EB37"/>
      <c r="EC37"/>
      <c r="ED37"/>
      <c r="EE37"/>
      <c r="EF37"/>
      <c r="EG37"/>
      <c r="EH37"/>
      <c r="EI37"/>
      <c r="EJ37"/>
      <c r="EK37"/>
      <c r="EL37"/>
      <c r="EM37"/>
      <c r="EN37"/>
      <c r="EO37"/>
      <c r="EP37"/>
      <c r="EQ37"/>
      <c r="ER37"/>
      <c r="ES37"/>
      <c r="ET37"/>
      <c r="EU37"/>
      <c r="EV37"/>
      <c r="EW37"/>
      <c r="EX37"/>
      <c r="EY37"/>
      <c r="EZ37"/>
      <c r="FA37"/>
      <c r="FB37"/>
      <c r="FC37"/>
      <c r="FD37"/>
      <c r="FE37"/>
      <c r="FF37"/>
      <c r="FG37"/>
      <c r="FH37"/>
      <c r="FI37"/>
      <c r="FJ37"/>
      <c r="FK37"/>
      <c r="FL37"/>
      <c r="FM37"/>
      <c r="FN37"/>
      <c r="FO37"/>
      <c r="FP37"/>
      <c r="FQ37"/>
      <c r="FR37"/>
      <c r="FS37"/>
      <c r="FT37"/>
      <c r="FU37"/>
      <c r="FV37"/>
      <c r="FW37"/>
      <c r="FX37"/>
      <c r="FY37"/>
      <c r="FZ37"/>
      <c r="GA37"/>
      <c r="GB37"/>
      <c r="GC37"/>
      <c r="GD37"/>
      <c r="GE37"/>
      <c r="GF37"/>
      <c r="GG37"/>
      <c r="GH37"/>
      <c r="GI37"/>
      <c r="GJ37"/>
      <c r="GK37"/>
      <c r="GL37"/>
      <c r="GM37"/>
      <c r="GN37"/>
      <c r="GO37"/>
      <c r="GP37"/>
      <c r="GQ37"/>
      <c r="GR37"/>
      <c r="GS37"/>
      <c r="GT37"/>
      <c r="GU37"/>
      <c r="GV37"/>
      <c r="GW37"/>
      <c r="GX37"/>
      <c r="GY37"/>
      <c r="GZ37"/>
      <c r="HA37"/>
      <c r="HB37"/>
      <c r="HC37"/>
      <c r="HD37"/>
      <c r="HE37"/>
      <c r="HF37"/>
      <c r="HG37"/>
      <c r="HH37"/>
      <c r="HI37"/>
      <c r="HJ37"/>
      <c r="HK37"/>
      <c r="HL37"/>
      <c r="HM37"/>
      <c r="HN37"/>
      <c r="HO37"/>
      <c r="HP37"/>
      <c r="HQ37"/>
      <c r="HR37"/>
      <c r="HS37"/>
      <c r="HT37"/>
      <c r="HU37"/>
      <c r="HV37"/>
      <c r="HW37"/>
      <c r="HX37"/>
      <c r="HY37"/>
      <c r="HZ37"/>
      <c r="IA37"/>
      <c r="IB37"/>
      <c r="IC37"/>
      <c r="ID37"/>
      <c r="IE37"/>
      <c r="IF37"/>
      <c r="IG37"/>
      <c r="IH37"/>
      <c r="II37"/>
      <c r="IJ37"/>
      <c r="IK37"/>
      <c r="IL37"/>
      <c r="IM37"/>
      <c r="IN37"/>
      <c r="IO37"/>
      <c r="IP37"/>
      <c r="IQ37"/>
      <c r="IR37"/>
      <c r="IS37"/>
      <c r="IT37"/>
      <c r="IU37"/>
    </row>
    <row r="38" spans="1:255" s="428" customFormat="1" ht="16.5" customHeight="1" x14ac:dyDescent="0.35">
      <c r="A38" s="116"/>
      <c r="B38" s="435"/>
      <c r="C38" s="436"/>
      <c r="D38" s="437"/>
      <c r="E38" s="437"/>
      <c r="F38" s="438"/>
      <c r="G38" s="439"/>
      <c r="H38" s="438"/>
      <c r="I38" s="438"/>
      <c r="J38" s="438"/>
      <c r="K38" s="438"/>
      <c r="L38" s="438"/>
      <c r="M38" s="438"/>
      <c r="N38" s="438"/>
      <c r="O38" s="438"/>
      <c r="P38" s="438"/>
      <c r="Q38" s="438"/>
      <c r="R38" s="438"/>
      <c r="S38" s="438"/>
      <c r="T38" s="488"/>
      <c r="U38" s="488"/>
      <c r="V38" s="489">
        <f>SUM(V29:V37)</f>
        <v>60</v>
      </c>
      <c r="W38" s="490"/>
      <c r="X38" s="488"/>
      <c r="Y38" s="488"/>
      <c r="Z38" s="488"/>
      <c r="AA38" s="490"/>
      <c r="AB38" s="491"/>
      <c r="AC38" s="491">
        <f>SUM(AC29:AC37)</f>
        <v>557204490.95999992</v>
      </c>
      <c r="AD38" s="437"/>
      <c r="AE38" s="538"/>
      <c r="AF38" s="437"/>
      <c r="AG38" s="437"/>
      <c r="AH38" s="437"/>
      <c r="AI38" s="437"/>
      <c r="AJ38" s="437"/>
      <c r="AK38" s="231"/>
      <c r="AL38" s="437"/>
      <c r="AM38" s="437"/>
      <c r="AN38" s="440"/>
    </row>
    <row r="39" spans="1:255" s="428" customFormat="1" ht="25.5" customHeight="1" x14ac:dyDescent="0.35">
      <c r="A39" s="116" t="s">
        <v>729</v>
      </c>
      <c r="B39" s="140">
        <v>1</v>
      </c>
      <c r="C39" s="370" t="s">
        <v>723</v>
      </c>
      <c r="D39" s="139">
        <v>24374</v>
      </c>
      <c r="E39" s="98">
        <v>24381</v>
      </c>
      <c r="F39" s="140"/>
      <c r="G39" s="214" t="s">
        <v>724</v>
      </c>
      <c r="H39" s="467">
        <v>4.6500000000000004</v>
      </c>
      <c r="I39" s="461">
        <v>44927</v>
      </c>
      <c r="J39" s="462">
        <v>0.2</v>
      </c>
      <c r="K39" s="464" t="s">
        <v>728</v>
      </c>
      <c r="L39" s="463"/>
      <c r="M39" s="464"/>
      <c r="N39" s="463"/>
      <c r="O39" s="461"/>
      <c r="P39" s="466"/>
      <c r="Q39" s="466"/>
      <c r="R39" s="467" t="s">
        <v>535</v>
      </c>
      <c r="S39" s="465" t="s">
        <v>730</v>
      </c>
      <c r="T39" s="480">
        <f>EDATE(AG39,-60)</f>
        <v>43160</v>
      </c>
      <c r="U39" s="481" t="s">
        <v>674</v>
      </c>
      <c r="V39" s="482">
        <f t="shared" ref="V39:V42" si="10">ROUND(DAYS360(T39,U39,0)/30,0)</f>
        <v>4</v>
      </c>
      <c r="W39" s="483">
        <v>3.99</v>
      </c>
      <c r="X39" s="483">
        <v>0.2</v>
      </c>
      <c r="Y39" s="484"/>
      <c r="Z39" s="485"/>
      <c r="AA39" s="486">
        <f t="shared" ref="AA39:AA42" si="11">W39+X39+Y39*W39+(W39+X39+Y39*W39)*Z39</f>
        <v>4.1900000000000004</v>
      </c>
      <c r="AB39" s="487">
        <v>1300000</v>
      </c>
      <c r="AC39" s="487">
        <f t="shared" ref="AC39:AC42" si="12">V39*AA39*AB39</f>
        <v>21788000.000000004</v>
      </c>
      <c r="AD39" s="228">
        <f>AC43/V43</f>
        <v>6483196.6666666679</v>
      </c>
      <c r="AE39" s="537" t="s">
        <v>714</v>
      </c>
      <c r="AF39" s="140"/>
      <c r="AG39" s="139">
        <v>44986</v>
      </c>
      <c r="AH39" s="140" t="str">
        <f>DATEDIF(E39,AG39,"y")&amp;"t"&amp;DATEDIF(E39,AG39,"ym")&amp;"th"</f>
        <v>56t5th</v>
      </c>
      <c r="AI39" s="98" t="s">
        <v>689</v>
      </c>
      <c r="AJ39" s="113" t="str">
        <f>QUOTIENT((VALUE(LEFT(AI39,2))*12+VALUE(MID(AI39,4,LEN(AI39)-5))-(VALUE(LEFT(AH39,2))*12+VALUE(MID(AH39,4,LEN(AH39)-5)))),12)&amp;"n"&amp;MOD(VALUE(LEFT(AI39,2))*12+VALUE(MID(AI39,4,LEN(AI39)-5))-(VALUE(LEFT(AH39,2))*12+VALUE(MID(AH39,4,LEN(AH39)-5))),12)&amp;"t"</f>
        <v>4n4t</v>
      </c>
      <c r="AK39" s="391">
        <f>SUM(AL39:AN39)</f>
        <v>136147130</v>
      </c>
      <c r="AL39" s="163">
        <f>ROUND(IF(LEN(AJ39)&lt;3,VALUE(LEFT(AJ39,1))*3*AD39,(VALUE(LEFT(AJ39,1))*3+IF(VALUE(MID(AJ39,3,LEN(AJ39)-3))&gt;6,2,IF(VALUE(MID(AJ39,3,LEN(AJ39)-3))&gt;0,1,0)))*AD39),0)</f>
        <v>84281557</v>
      </c>
      <c r="AM39" s="163">
        <f>ROUND(5*AD39,0)</f>
        <v>32415983</v>
      </c>
      <c r="AN39" s="164">
        <f>ROUND(((VALUE(LEFT(AE39,2)-20))+IF(LEN(AE39)&lt;4,0,IF(VALUE(MID(AE39,4,LEN(AE39)-4))&gt;6,1,IF(VALUE(MID(AE39,4,LEN(AE39)-4))&gt;2,0.5,0))))*AD39*1/2,0)</f>
        <v>19449590</v>
      </c>
      <c r="AO39"/>
      <c r="AP39"/>
      <c r="AQ39"/>
      <c r="AR39"/>
      <c r="AS39"/>
      <c r="AT39"/>
      <c r="AU39"/>
      <c r="AV39"/>
      <c r="AW39"/>
      <c r="AX39"/>
      <c r="AY39"/>
      <c r="AZ39"/>
      <c r="BA39"/>
      <c r="BB39"/>
      <c r="BC39"/>
      <c r="BD39"/>
      <c r="BE39"/>
      <c r="BF39"/>
      <c r="BG39"/>
      <c r="BH39"/>
      <c r="BI39"/>
      <c r="BJ39"/>
      <c r="BK39"/>
      <c r="BL39"/>
      <c r="BM39"/>
      <c r="BN39"/>
      <c r="BO39"/>
      <c r="BP39"/>
      <c r="BQ39"/>
      <c r="BR39"/>
      <c r="BS39"/>
      <c r="BT39"/>
      <c r="BU39"/>
      <c r="BV39"/>
      <c r="BW39"/>
      <c r="BX39"/>
      <c r="BY39"/>
      <c r="BZ39"/>
      <c r="CA39"/>
      <c r="CB39"/>
      <c r="CC39"/>
      <c r="CD39"/>
      <c r="CE39"/>
      <c r="CF39"/>
      <c r="CG39"/>
      <c r="CH39"/>
      <c r="CI39"/>
      <c r="CJ39"/>
      <c r="CK39"/>
      <c r="CL39"/>
      <c r="CM39"/>
      <c r="CN39"/>
      <c r="CO39"/>
      <c r="CP39"/>
      <c r="CQ39"/>
      <c r="CR39"/>
      <c r="CS39"/>
      <c r="CT39"/>
      <c r="CU39"/>
      <c r="CV39"/>
      <c r="CW39"/>
      <c r="CX39"/>
      <c r="CY39"/>
      <c r="CZ39"/>
      <c r="DA39"/>
      <c r="DB39"/>
      <c r="DC39"/>
      <c r="DD39"/>
      <c r="DE39"/>
      <c r="DF39"/>
      <c r="DG39"/>
      <c r="DH39"/>
      <c r="DI39"/>
      <c r="DJ39"/>
      <c r="DK39"/>
      <c r="DL39"/>
      <c r="DM39"/>
      <c r="DN39"/>
      <c r="DO39"/>
      <c r="DP39"/>
      <c r="DQ39"/>
      <c r="DR39"/>
      <c r="DS39"/>
      <c r="DT39"/>
      <c r="DU39"/>
      <c r="DV39"/>
      <c r="DW39"/>
      <c r="DX39"/>
      <c r="DY39"/>
      <c r="DZ39"/>
      <c r="EA39"/>
      <c r="EB39"/>
      <c r="EC39"/>
      <c r="ED39"/>
      <c r="EE39"/>
      <c r="EF39"/>
      <c r="EG39"/>
      <c r="EH39"/>
      <c r="EI39"/>
      <c r="EJ39"/>
      <c r="EK39"/>
      <c r="EL39"/>
      <c r="EM39"/>
      <c r="EN39"/>
      <c r="EO39"/>
      <c r="EP39"/>
      <c r="EQ39"/>
      <c r="ER39"/>
      <c r="ES39"/>
      <c r="ET39"/>
      <c r="EU39"/>
      <c r="EV39"/>
      <c r="EW39"/>
      <c r="EX39"/>
      <c r="EY39"/>
      <c r="EZ39"/>
      <c r="FA39"/>
      <c r="FB39"/>
      <c r="FC39"/>
      <c r="FD39"/>
      <c r="FE39"/>
      <c r="FF39"/>
      <c r="FG39"/>
      <c r="FH39"/>
      <c r="FI39"/>
      <c r="FJ39"/>
      <c r="FK39"/>
      <c r="FL39"/>
      <c r="FM39"/>
      <c r="FN39"/>
      <c r="FO39"/>
      <c r="FP39"/>
      <c r="FQ39"/>
      <c r="FR39"/>
      <c r="FS39"/>
      <c r="FT39"/>
      <c r="FU39"/>
      <c r="FV39"/>
      <c r="FW39"/>
      <c r="FX39"/>
      <c r="FY39"/>
      <c r="FZ39"/>
      <c r="GA39"/>
      <c r="GB39"/>
      <c r="GC39"/>
      <c r="GD39"/>
      <c r="GE39"/>
      <c r="GF39"/>
      <c r="GG39"/>
      <c r="GH39"/>
      <c r="GI39"/>
      <c r="GJ39"/>
      <c r="GK39"/>
      <c r="GL39"/>
      <c r="GM39"/>
      <c r="GN39"/>
      <c r="GO39"/>
      <c r="GP39"/>
      <c r="GQ39"/>
      <c r="GR39"/>
      <c r="GS39"/>
      <c r="GT39"/>
      <c r="GU39"/>
      <c r="GV39"/>
      <c r="GW39"/>
      <c r="GX39"/>
      <c r="GY39"/>
      <c r="GZ39"/>
      <c r="HA39"/>
      <c r="HB39"/>
      <c r="HC39"/>
      <c r="HD39"/>
      <c r="HE39"/>
      <c r="HF39"/>
      <c r="HG39"/>
      <c r="HH39"/>
      <c r="HI39"/>
      <c r="HJ39"/>
      <c r="HK39"/>
      <c r="HL39"/>
      <c r="HM39"/>
      <c r="HN39"/>
      <c r="HO39"/>
      <c r="HP39"/>
      <c r="HQ39"/>
      <c r="HR39"/>
      <c r="HS39"/>
      <c r="HT39"/>
      <c r="HU39"/>
      <c r="HV39"/>
      <c r="HW39"/>
      <c r="HX39"/>
      <c r="HY39"/>
      <c r="HZ39"/>
      <c r="IA39"/>
      <c r="IB39"/>
      <c r="IC39"/>
      <c r="ID39"/>
      <c r="IE39"/>
      <c r="IF39"/>
      <c r="IG39"/>
      <c r="IH39"/>
      <c r="II39"/>
      <c r="IJ39"/>
      <c r="IK39"/>
      <c r="IL39"/>
      <c r="IM39"/>
      <c r="IN39"/>
      <c r="IO39"/>
      <c r="IP39"/>
      <c r="IQ39"/>
      <c r="IR39"/>
      <c r="IS39"/>
      <c r="IT39"/>
      <c r="IU39"/>
    </row>
    <row r="40" spans="1:255" s="428" customFormat="1" ht="16.5" customHeight="1" x14ac:dyDescent="0.35">
      <c r="A40" s="116"/>
      <c r="B40" s="96"/>
      <c r="C40" s="445"/>
      <c r="D40" s="98"/>
      <c r="E40" s="98"/>
      <c r="F40" s="446"/>
      <c r="G40" s="213"/>
      <c r="H40" s="100"/>
      <c r="I40" s="98"/>
      <c r="J40" s="99"/>
      <c r="K40" s="98"/>
      <c r="L40" s="141"/>
      <c r="M40" s="98"/>
      <c r="N40" s="141"/>
      <c r="O40" s="98"/>
      <c r="P40" s="99"/>
      <c r="Q40" s="99"/>
      <c r="R40" s="100"/>
      <c r="S40" s="98"/>
      <c r="T40" s="480" t="s">
        <v>675</v>
      </c>
      <c r="U40" s="481" t="s">
        <v>676</v>
      </c>
      <c r="V40" s="482">
        <f t="shared" si="10"/>
        <v>12</v>
      </c>
      <c r="W40" s="483">
        <v>3.99</v>
      </c>
      <c r="X40" s="483">
        <v>0.2</v>
      </c>
      <c r="Y40" s="484"/>
      <c r="Z40" s="485"/>
      <c r="AA40" s="486">
        <f t="shared" si="11"/>
        <v>4.1900000000000004</v>
      </c>
      <c r="AB40" s="487">
        <v>1390000</v>
      </c>
      <c r="AC40" s="487">
        <f t="shared" si="12"/>
        <v>69889200</v>
      </c>
      <c r="AD40" s="226"/>
      <c r="AE40" s="424"/>
      <c r="AF40" s="99"/>
      <c r="AG40" s="98"/>
      <c r="AH40" s="99"/>
      <c r="AI40" s="98"/>
      <c r="AJ40" s="113"/>
      <c r="AK40" s="447"/>
      <c r="AL40" s="103"/>
      <c r="AM40" s="103"/>
      <c r="AN40" s="102"/>
      <c r="AO40"/>
      <c r="AP40"/>
      <c r="AQ40"/>
      <c r="AR40"/>
      <c r="AS40"/>
      <c r="AT40"/>
      <c r="AU40"/>
      <c r="AV40"/>
      <c r="AW40"/>
      <c r="AX40"/>
      <c r="AY40"/>
      <c r="AZ40"/>
      <c r="BA40"/>
      <c r="BB40"/>
      <c r="BC40"/>
      <c r="BD40"/>
      <c r="BE40"/>
      <c r="BF40"/>
      <c r="BG40"/>
      <c r="BH40"/>
      <c r="BI40"/>
      <c r="BJ40"/>
      <c r="BK40"/>
      <c r="BL40"/>
      <c r="BM40"/>
      <c r="BN40"/>
      <c r="BO40"/>
      <c r="BP40"/>
      <c r="BQ40"/>
      <c r="BR40"/>
      <c r="BS40"/>
      <c r="BT40"/>
      <c r="BU40"/>
      <c r="BV40"/>
      <c r="BW40"/>
      <c r="BX40"/>
      <c r="BY40"/>
      <c r="BZ40"/>
      <c r="CA40"/>
      <c r="CB40"/>
      <c r="CC40"/>
      <c r="CD40"/>
      <c r="CE40"/>
      <c r="CF40"/>
      <c r="CG40"/>
      <c r="CH40"/>
      <c r="CI40"/>
      <c r="CJ40"/>
      <c r="CK40"/>
      <c r="CL40"/>
      <c r="CM40"/>
      <c r="CN40"/>
      <c r="CO40"/>
      <c r="CP40"/>
      <c r="CQ40"/>
      <c r="CR40"/>
      <c r="CS40"/>
      <c r="CT40"/>
      <c r="CU40"/>
      <c r="CV40"/>
      <c r="CW40"/>
      <c r="CX40"/>
      <c r="CY40"/>
      <c r="CZ40"/>
      <c r="DA40"/>
      <c r="DB40"/>
      <c r="DC40"/>
      <c r="DD40"/>
      <c r="DE40"/>
      <c r="DF40"/>
      <c r="DG40"/>
      <c r="DH40"/>
      <c r="DI40"/>
      <c r="DJ40"/>
      <c r="DK40"/>
      <c r="DL40"/>
      <c r="DM40"/>
      <c r="DN40"/>
      <c r="DO40"/>
      <c r="DP40"/>
      <c r="DQ40"/>
      <c r="DR40"/>
      <c r="DS40"/>
      <c r="DT40"/>
      <c r="DU40"/>
      <c r="DV40"/>
      <c r="DW40"/>
      <c r="DX40"/>
      <c r="DY40"/>
      <c r="DZ40"/>
      <c r="EA40"/>
      <c r="EB40"/>
      <c r="EC40"/>
      <c r="ED40"/>
      <c r="EE40"/>
      <c r="EF40"/>
      <c r="EG40"/>
      <c r="EH40"/>
      <c r="EI40"/>
      <c r="EJ40"/>
      <c r="EK40"/>
      <c r="EL40"/>
      <c r="EM40"/>
      <c r="EN40"/>
      <c r="EO40"/>
      <c r="EP40"/>
      <c r="EQ40"/>
      <c r="ER40"/>
      <c r="ES40"/>
      <c r="ET40"/>
      <c r="EU40"/>
      <c r="EV40"/>
      <c r="EW40"/>
      <c r="EX40"/>
      <c r="EY40"/>
      <c r="EZ40"/>
      <c r="FA40"/>
      <c r="FB40"/>
      <c r="FC40"/>
      <c r="FD40"/>
      <c r="FE40"/>
      <c r="FF40"/>
      <c r="FG40"/>
      <c r="FH40"/>
      <c r="FI40"/>
      <c r="FJ40"/>
      <c r="FK40"/>
      <c r="FL40"/>
      <c r="FM40"/>
      <c r="FN40"/>
      <c r="FO40"/>
      <c r="FP40"/>
      <c r="FQ40"/>
      <c r="FR40"/>
      <c r="FS40"/>
      <c r="FT40"/>
      <c r="FU40"/>
      <c r="FV40"/>
      <c r="FW40"/>
      <c r="FX40"/>
      <c r="FY40"/>
      <c r="FZ40"/>
      <c r="GA40"/>
      <c r="GB40"/>
      <c r="GC40"/>
      <c r="GD40"/>
      <c r="GE40"/>
      <c r="GF40"/>
      <c r="GG40"/>
      <c r="GH40"/>
      <c r="GI40"/>
      <c r="GJ40"/>
      <c r="GK40"/>
      <c r="GL40"/>
      <c r="GM40"/>
      <c r="GN40"/>
      <c r="GO40"/>
      <c r="GP40"/>
      <c r="GQ40"/>
      <c r="GR40"/>
      <c r="GS40"/>
      <c r="GT40"/>
      <c r="GU40"/>
      <c r="GV40"/>
      <c r="GW40"/>
      <c r="GX40"/>
      <c r="GY40"/>
      <c r="GZ40"/>
      <c r="HA40"/>
      <c r="HB40"/>
      <c r="HC40"/>
      <c r="HD40"/>
      <c r="HE40"/>
      <c r="HF40"/>
      <c r="HG40"/>
      <c r="HH40"/>
      <c r="HI40"/>
      <c r="HJ40"/>
      <c r="HK40"/>
      <c r="HL40"/>
      <c r="HM40"/>
      <c r="HN40"/>
      <c r="HO40"/>
      <c r="HP40"/>
      <c r="HQ40"/>
      <c r="HR40"/>
      <c r="HS40"/>
      <c r="HT40"/>
      <c r="HU40"/>
      <c r="HV40"/>
      <c r="HW40"/>
      <c r="HX40"/>
      <c r="HY40"/>
      <c r="HZ40"/>
      <c r="IA40"/>
      <c r="IB40"/>
      <c r="IC40"/>
      <c r="ID40"/>
      <c r="IE40"/>
      <c r="IF40"/>
      <c r="IG40"/>
      <c r="IH40"/>
      <c r="II40"/>
      <c r="IJ40"/>
      <c r="IK40"/>
      <c r="IL40"/>
      <c r="IM40"/>
      <c r="IN40"/>
      <c r="IO40"/>
      <c r="IP40"/>
      <c r="IQ40"/>
      <c r="IR40"/>
      <c r="IS40"/>
      <c r="IT40"/>
      <c r="IU40"/>
    </row>
    <row r="41" spans="1:255" s="428" customFormat="1" ht="16.5" customHeight="1" x14ac:dyDescent="0.35">
      <c r="A41" s="116"/>
      <c r="B41" s="96"/>
      <c r="C41" s="445"/>
      <c r="D41" s="98"/>
      <c r="E41" s="98"/>
      <c r="F41" s="446"/>
      <c r="G41" s="213"/>
      <c r="H41" s="100"/>
      <c r="I41" s="98"/>
      <c r="J41" s="99"/>
      <c r="K41" s="98"/>
      <c r="L41" s="141"/>
      <c r="M41" s="98"/>
      <c r="N41" s="141"/>
      <c r="O41" s="98"/>
      <c r="P41" s="99"/>
      <c r="Q41" s="99"/>
      <c r="R41" s="100"/>
      <c r="S41" s="98"/>
      <c r="T41" s="480" t="s">
        <v>677</v>
      </c>
      <c r="U41" s="481">
        <v>44926</v>
      </c>
      <c r="V41" s="482">
        <f t="shared" si="10"/>
        <v>42</v>
      </c>
      <c r="W41" s="483">
        <v>4.32</v>
      </c>
      <c r="X41" s="483">
        <v>0.2</v>
      </c>
      <c r="Y41" s="484"/>
      <c r="Z41" s="485"/>
      <c r="AA41" s="486">
        <f t="shared" si="11"/>
        <v>4.5200000000000005</v>
      </c>
      <c r="AB41" s="487">
        <v>1490000</v>
      </c>
      <c r="AC41" s="487">
        <f t="shared" si="12"/>
        <v>282861600.00000006</v>
      </c>
      <c r="AD41" s="226"/>
      <c r="AE41" s="424"/>
      <c r="AF41" s="99"/>
      <c r="AG41" s="98"/>
      <c r="AH41" s="99"/>
      <c r="AI41" s="98"/>
      <c r="AJ41" s="113"/>
      <c r="AK41" s="447"/>
      <c r="AL41" s="103"/>
      <c r="AM41" s="103"/>
      <c r="AN41" s="102"/>
      <c r="AO41"/>
      <c r="AP41"/>
      <c r="AQ41"/>
      <c r="AR41"/>
      <c r="AS41"/>
      <c r="AT41"/>
      <c r="AU41"/>
      <c r="AV41"/>
      <c r="AW41"/>
      <c r="AX41"/>
      <c r="AY41"/>
      <c r="AZ41"/>
      <c r="BA41"/>
      <c r="BB41"/>
      <c r="BC41"/>
      <c r="BD41"/>
      <c r="BE41"/>
      <c r="BF41"/>
      <c r="BG41"/>
      <c r="BH41"/>
      <c r="BI41"/>
      <c r="BJ41"/>
      <c r="BK41"/>
      <c r="BL41"/>
      <c r="BM41"/>
      <c r="BN41"/>
      <c r="BO41"/>
      <c r="BP41"/>
      <c r="BQ41"/>
      <c r="BR41"/>
      <c r="BS41"/>
      <c r="BT41"/>
      <c r="BU41"/>
      <c r="BV41"/>
      <c r="BW41"/>
      <c r="BX41"/>
      <c r="BY41"/>
      <c r="BZ41"/>
      <c r="CA41"/>
      <c r="CB41"/>
      <c r="CC41"/>
      <c r="CD41"/>
      <c r="CE41"/>
      <c r="CF41"/>
      <c r="CG41"/>
      <c r="CH41"/>
      <c r="CI41"/>
      <c r="CJ41"/>
      <c r="CK41"/>
      <c r="CL41"/>
      <c r="CM41"/>
      <c r="CN41"/>
      <c r="CO41"/>
      <c r="CP41"/>
      <c r="CQ41"/>
      <c r="CR41"/>
      <c r="CS41"/>
      <c r="CT41"/>
      <c r="CU41"/>
      <c r="CV41"/>
      <c r="CW41"/>
      <c r="CX41"/>
      <c r="CY41"/>
      <c r="CZ41"/>
      <c r="DA41"/>
      <c r="DB41"/>
      <c r="DC41"/>
      <c r="DD41"/>
      <c r="DE41"/>
      <c r="DF41"/>
      <c r="DG41"/>
      <c r="DH41"/>
      <c r="DI41"/>
      <c r="DJ41"/>
      <c r="DK41"/>
      <c r="DL41"/>
      <c r="DM41"/>
      <c r="DN41"/>
      <c r="DO41"/>
      <c r="DP41"/>
      <c r="DQ41"/>
      <c r="DR41"/>
      <c r="DS41"/>
      <c r="DT41"/>
      <c r="DU41"/>
      <c r="DV41"/>
      <c r="DW41"/>
      <c r="DX41"/>
      <c r="DY41"/>
      <c r="DZ41"/>
      <c r="EA41"/>
      <c r="EB41"/>
      <c r="EC41"/>
      <c r="ED41"/>
      <c r="EE41"/>
      <c r="EF41"/>
      <c r="EG41"/>
      <c r="EH41"/>
      <c r="EI41"/>
      <c r="EJ41"/>
      <c r="EK41"/>
      <c r="EL41"/>
      <c r="EM41"/>
      <c r="EN41"/>
      <c r="EO41"/>
      <c r="EP41"/>
      <c r="EQ41"/>
      <c r="ER41"/>
      <c r="ES41"/>
      <c r="ET41"/>
      <c r="EU41"/>
      <c r="EV41"/>
      <c r="EW41"/>
      <c r="EX41"/>
      <c r="EY41"/>
      <c r="EZ41"/>
      <c r="FA41"/>
      <c r="FB41"/>
      <c r="FC41"/>
      <c r="FD41"/>
      <c r="FE41"/>
      <c r="FF41"/>
      <c r="FG41"/>
      <c r="FH41"/>
      <c r="FI41"/>
      <c r="FJ41"/>
      <c r="FK41"/>
      <c r="FL41"/>
      <c r="FM41"/>
      <c r="FN41"/>
      <c r="FO41"/>
      <c r="FP41"/>
      <c r="FQ41"/>
      <c r="FR41"/>
      <c r="FS41"/>
      <c r="FT41"/>
      <c r="FU41"/>
      <c r="FV41"/>
      <c r="FW41"/>
      <c r="FX41"/>
      <c r="FY41"/>
      <c r="FZ41"/>
      <c r="GA41"/>
      <c r="GB41"/>
      <c r="GC41"/>
      <c r="GD41"/>
      <c r="GE41"/>
      <c r="GF41"/>
      <c r="GG41"/>
      <c r="GH41"/>
      <c r="GI41"/>
      <c r="GJ41"/>
      <c r="GK41"/>
      <c r="GL41"/>
      <c r="GM41"/>
      <c r="GN41"/>
      <c r="GO41"/>
      <c r="GP41"/>
      <c r="GQ41"/>
      <c r="GR41"/>
      <c r="GS41"/>
      <c r="GT41"/>
      <c r="GU41"/>
      <c r="GV41"/>
      <c r="GW41"/>
      <c r="GX41"/>
      <c r="GY41"/>
      <c r="GZ41"/>
      <c r="HA41"/>
      <c r="HB41"/>
      <c r="HC41"/>
      <c r="HD41"/>
      <c r="HE41"/>
      <c r="HF41"/>
      <c r="HG41"/>
      <c r="HH41"/>
      <c r="HI41"/>
      <c r="HJ41"/>
      <c r="HK41"/>
      <c r="HL41"/>
      <c r="HM41"/>
      <c r="HN41"/>
      <c r="HO41"/>
      <c r="HP41"/>
      <c r="HQ41"/>
      <c r="HR41"/>
      <c r="HS41"/>
      <c r="HT41"/>
      <c r="HU41"/>
      <c r="HV41"/>
      <c r="HW41"/>
      <c r="HX41"/>
      <c r="HY41"/>
      <c r="HZ41"/>
      <c r="IA41"/>
      <c r="IB41"/>
      <c r="IC41"/>
      <c r="ID41"/>
      <c r="IE41"/>
      <c r="IF41"/>
      <c r="IG41"/>
      <c r="IH41"/>
      <c r="II41"/>
      <c r="IJ41"/>
      <c r="IK41"/>
      <c r="IL41"/>
      <c r="IM41"/>
      <c r="IN41"/>
      <c r="IO41"/>
      <c r="IP41"/>
      <c r="IQ41"/>
      <c r="IR41"/>
      <c r="IS41"/>
      <c r="IT41"/>
      <c r="IU41"/>
    </row>
    <row r="42" spans="1:255" s="428" customFormat="1" ht="16.5" customHeight="1" x14ac:dyDescent="0.35">
      <c r="A42" s="116"/>
      <c r="B42" s="96"/>
      <c r="C42" s="445"/>
      <c r="D42" s="98"/>
      <c r="E42" s="98"/>
      <c r="F42" s="446"/>
      <c r="G42" s="213"/>
      <c r="H42" s="100"/>
      <c r="I42" s="98"/>
      <c r="J42" s="99"/>
      <c r="K42" s="98"/>
      <c r="L42" s="141"/>
      <c r="M42" s="98"/>
      <c r="N42" s="141"/>
      <c r="O42" s="98"/>
      <c r="P42" s="99"/>
      <c r="Q42" s="99"/>
      <c r="R42" s="100"/>
      <c r="S42" s="98"/>
      <c r="T42" s="480">
        <v>44927</v>
      </c>
      <c r="U42" s="481">
        <v>44985</v>
      </c>
      <c r="V42" s="482">
        <f t="shared" si="10"/>
        <v>2</v>
      </c>
      <c r="W42" s="483">
        <v>4.6500000000000004</v>
      </c>
      <c r="X42" s="483">
        <v>0.2</v>
      </c>
      <c r="Y42" s="533"/>
      <c r="Z42" s="534"/>
      <c r="AA42" s="535">
        <f t="shared" si="11"/>
        <v>4.8500000000000005</v>
      </c>
      <c r="AB42" s="536">
        <v>1490000</v>
      </c>
      <c r="AC42" s="536">
        <f t="shared" si="12"/>
        <v>14453000.000000002</v>
      </c>
      <c r="AD42" s="226"/>
      <c r="AE42" s="424"/>
      <c r="AF42" s="99"/>
      <c r="AG42" s="98"/>
      <c r="AH42" s="99"/>
      <c r="AI42" s="98"/>
      <c r="AJ42" s="113"/>
      <c r="AK42" s="447"/>
      <c r="AL42" s="103"/>
      <c r="AM42" s="103"/>
      <c r="AN42" s="102"/>
      <c r="AO42"/>
      <c r="AP42"/>
      <c r="AQ42"/>
      <c r="AR42"/>
      <c r="AS42"/>
      <c r="AT42"/>
      <c r="AU42"/>
      <c r="AV42"/>
      <c r="AW42"/>
      <c r="AX42"/>
      <c r="AY42"/>
      <c r="AZ42"/>
      <c r="BA42"/>
      <c r="BB42"/>
      <c r="BC42"/>
      <c r="BD42"/>
      <c r="BE42"/>
      <c r="BF42"/>
      <c r="BG42"/>
      <c r="BH42"/>
      <c r="BI42"/>
      <c r="BJ42"/>
      <c r="BK42"/>
      <c r="BL42"/>
      <c r="BM42"/>
      <c r="BN42"/>
      <c r="BO42"/>
      <c r="BP42"/>
      <c r="BQ42"/>
      <c r="BR42"/>
      <c r="BS42"/>
      <c r="BT42"/>
      <c r="BU42"/>
      <c r="BV42"/>
      <c r="BW42"/>
      <c r="BX42"/>
      <c r="BY42"/>
      <c r="BZ42"/>
      <c r="CA42"/>
      <c r="CB42"/>
      <c r="CC42"/>
      <c r="CD42"/>
      <c r="CE42"/>
      <c r="CF42"/>
      <c r="CG42"/>
      <c r="CH42"/>
      <c r="CI42"/>
      <c r="CJ42"/>
      <c r="CK42"/>
      <c r="CL42"/>
      <c r="CM42"/>
      <c r="CN42"/>
      <c r="CO42"/>
      <c r="CP42"/>
      <c r="CQ42"/>
      <c r="CR42"/>
      <c r="CS42"/>
      <c r="CT42"/>
      <c r="CU42"/>
      <c r="CV42"/>
      <c r="CW42"/>
      <c r="CX42"/>
      <c r="CY42"/>
      <c r="CZ42"/>
      <c r="DA42"/>
      <c r="DB42"/>
      <c r="DC42"/>
      <c r="DD42"/>
      <c r="DE42"/>
      <c r="DF42"/>
      <c r="DG42"/>
      <c r="DH42"/>
      <c r="DI42"/>
      <c r="DJ42"/>
      <c r="DK42"/>
      <c r="DL42"/>
      <c r="DM42"/>
      <c r="DN42"/>
      <c r="DO42"/>
      <c r="DP42"/>
      <c r="DQ42"/>
      <c r="DR42"/>
      <c r="DS42"/>
      <c r="DT42"/>
      <c r="DU42"/>
      <c r="DV42"/>
      <c r="DW42"/>
      <c r="DX42"/>
      <c r="DY42"/>
      <c r="DZ42"/>
      <c r="EA42"/>
      <c r="EB42"/>
      <c r="EC42"/>
      <c r="ED42"/>
      <c r="EE42"/>
      <c r="EF42"/>
      <c r="EG42"/>
      <c r="EH42"/>
      <c r="EI42"/>
      <c r="EJ42"/>
      <c r="EK42"/>
      <c r="EL42"/>
      <c r="EM42"/>
      <c r="EN42"/>
      <c r="EO42"/>
      <c r="EP42"/>
      <c r="EQ42"/>
      <c r="ER42"/>
      <c r="ES42"/>
      <c r="ET42"/>
      <c r="EU42"/>
      <c r="EV42"/>
      <c r="EW42"/>
      <c r="EX42"/>
      <c r="EY42"/>
      <c r="EZ42"/>
      <c r="FA42"/>
      <c r="FB42"/>
      <c r="FC42"/>
      <c r="FD42"/>
      <c r="FE42"/>
      <c r="FF42"/>
      <c r="FG42"/>
      <c r="FH42"/>
      <c r="FI42"/>
      <c r="FJ42"/>
      <c r="FK42"/>
      <c r="FL42"/>
      <c r="FM42"/>
      <c r="FN42"/>
      <c r="FO42"/>
      <c r="FP42"/>
      <c r="FQ42"/>
      <c r="FR42"/>
      <c r="FS42"/>
      <c r="FT42"/>
      <c r="FU42"/>
      <c r="FV42"/>
      <c r="FW42"/>
      <c r="FX42"/>
      <c r="FY42"/>
      <c r="FZ42"/>
      <c r="GA42"/>
      <c r="GB42"/>
      <c r="GC42"/>
      <c r="GD42"/>
      <c r="GE42"/>
      <c r="GF42"/>
      <c r="GG42"/>
      <c r="GH42"/>
      <c r="GI42"/>
      <c r="GJ42"/>
      <c r="GK42"/>
      <c r="GL42"/>
      <c r="GM42"/>
      <c r="GN42"/>
      <c r="GO42"/>
      <c r="GP42"/>
      <c r="GQ42"/>
      <c r="GR42"/>
      <c r="GS42"/>
      <c r="GT42"/>
      <c r="GU42"/>
      <c r="GV42"/>
      <c r="GW42"/>
      <c r="GX42"/>
      <c r="GY42"/>
      <c r="GZ42"/>
      <c r="HA42"/>
      <c r="HB42"/>
      <c r="HC42"/>
      <c r="HD42"/>
      <c r="HE42"/>
      <c r="HF42"/>
      <c r="HG42"/>
      <c r="HH42"/>
      <c r="HI42"/>
      <c r="HJ42"/>
      <c r="HK42"/>
      <c r="HL42"/>
      <c r="HM42"/>
      <c r="HN42"/>
      <c r="HO42"/>
      <c r="HP42"/>
      <c r="HQ42"/>
      <c r="HR42"/>
      <c r="HS42"/>
      <c r="HT42"/>
      <c r="HU42"/>
      <c r="HV42"/>
      <c r="HW42"/>
      <c r="HX42"/>
      <c r="HY42"/>
      <c r="HZ42"/>
      <c r="IA42"/>
      <c r="IB42"/>
      <c r="IC42"/>
      <c r="ID42"/>
      <c r="IE42"/>
      <c r="IF42"/>
      <c r="IG42"/>
      <c r="IH42"/>
      <c r="II42"/>
      <c r="IJ42"/>
      <c r="IK42"/>
      <c r="IL42"/>
      <c r="IM42"/>
      <c r="IN42"/>
      <c r="IO42"/>
      <c r="IP42"/>
      <c r="IQ42"/>
      <c r="IR42"/>
      <c r="IS42"/>
      <c r="IT42"/>
      <c r="IU42"/>
    </row>
    <row r="43" spans="1:255" s="428" customFormat="1" ht="16.5" customHeight="1" x14ac:dyDescent="0.35">
      <c r="A43" s="116"/>
      <c r="B43" s="435"/>
      <c r="C43" s="436"/>
      <c r="D43" s="437"/>
      <c r="E43" s="437"/>
      <c r="F43" s="438"/>
      <c r="G43" s="439"/>
      <c r="H43" s="438"/>
      <c r="I43" s="438"/>
      <c r="J43" s="438"/>
      <c r="K43" s="438"/>
      <c r="L43" s="438"/>
      <c r="M43" s="438"/>
      <c r="N43" s="438"/>
      <c r="O43" s="438"/>
      <c r="P43" s="438"/>
      <c r="Q43" s="438"/>
      <c r="R43" s="438"/>
      <c r="S43" s="438"/>
      <c r="T43" s="488"/>
      <c r="U43" s="488"/>
      <c r="V43" s="489">
        <f>SUM(V39:V42)</f>
        <v>60</v>
      </c>
      <c r="W43" s="490"/>
      <c r="X43" s="488"/>
      <c r="Y43" s="488"/>
      <c r="Z43" s="488"/>
      <c r="AA43" s="490"/>
      <c r="AB43" s="491"/>
      <c r="AC43" s="491">
        <f>SUM(AC39:AC42)</f>
        <v>388991800.00000006</v>
      </c>
      <c r="AD43" s="437"/>
      <c r="AE43" s="538"/>
      <c r="AF43" s="437"/>
      <c r="AG43" s="437"/>
      <c r="AH43" s="437"/>
      <c r="AI43" s="437"/>
      <c r="AJ43" s="437"/>
      <c r="AK43" s="231"/>
      <c r="AL43" s="437"/>
      <c r="AM43" s="437"/>
      <c r="AN43" s="440"/>
    </row>
    <row r="44" spans="1:255" s="428" customFormat="1" ht="48.75" customHeight="1" x14ac:dyDescent="0.35">
      <c r="A44" s="116" t="s">
        <v>729</v>
      </c>
      <c r="B44" s="140">
        <v>2</v>
      </c>
      <c r="C44" s="370" t="s">
        <v>725</v>
      </c>
      <c r="D44" s="139">
        <v>23538</v>
      </c>
      <c r="E44" s="98">
        <v>23559</v>
      </c>
      <c r="F44" s="140"/>
      <c r="G44" s="214" t="s">
        <v>726</v>
      </c>
      <c r="H44" s="467">
        <v>3.66</v>
      </c>
      <c r="I44" s="461">
        <v>44470</v>
      </c>
      <c r="J44" s="462">
        <v>0.25</v>
      </c>
      <c r="K44" s="464">
        <v>40330</v>
      </c>
      <c r="L44" s="463"/>
      <c r="M44" s="464"/>
      <c r="N44" s="463"/>
      <c r="O44" s="461"/>
      <c r="P44" s="466"/>
      <c r="Q44" s="466"/>
      <c r="R44" s="467" t="s">
        <v>731</v>
      </c>
      <c r="S44" s="465" t="s">
        <v>732</v>
      </c>
      <c r="T44" s="480">
        <f>EDATE(AG44,-60)</f>
        <v>43160</v>
      </c>
      <c r="U44" s="481" t="s">
        <v>674</v>
      </c>
      <c r="V44" s="482">
        <f t="shared" ref="V44:V48" si="13">ROUND(DAYS360(T44,U44,0)/30,0)</f>
        <v>4</v>
      </c>
      <c r="W44" s="483">
        <v>3</v>
      </c>
      <c r="X44" s="483">
        <v>0.25</v>
      </c>
      <c r="Y44" s="484"/>
      <c r="Z44" s="485"/>
      <c r="AA44" s="486">
        <f t="shared" ref="AA44:AA48" si="14">W44+X44+Y44*W44+(W44+X44+Y44*W44)*Z44</f>
        <v>3.25</v>
      </c>
      <c r="AB44" s="487">
        <v>1300000</v>
      </c>
      <c r="AC44" s="487">
        <f t="shared" ref="AC44:AC48" si="15">V44*AA44*AB44</f>
        <v>16900000</v>
      </c>
      <c r="AD44" s="228">
        <f>AC49/V49</f>
        <v>5312678.333333333</v>
      </c>
      <c r="AE44" s="537" t="s">
        <v>733</v>
      </c>
      <c r="AF44" s="140"/>
      <c r="AG44" s="139">
        <v>44986</v>
      </c>
      <c r="AH44" s="140" t="str">
        <f>DATEDIF(E44,AG44,"y")&amp;"t"&amp;DATEDIF(E44,AG44,"ym")&amp;"th"</f>
        <v>58t8th</v>
      </c>
      <c r="AI44" s="98" t="s">
        <v>689</v>
      </c>
      <c r="AJ44" s="113" t="str">
        <f>QUOTIENT((VALUE(LEFT(AI44,2))*12+VALUE(MID(AI44,4,LEN(AI44)-5))-(VALUE(LEFT(AH44,2))*12+VALUE(MID(AH44,4,LEN(AH44)-5)))),12)&amp;"n"&amp;MOD(VALUE(LEFT(AI44,2))*12+VALUE(MID(AI44,4,LEN(AI44)-5))-(VALUE(LEFT(AH44,2))*12+VALUE(MID(AH44,4,LEN(AH44)-5))),12)&amp;"t"</f>
        <v>2n1t</v>
      </c>
      <c r="AK44" s="391">
        <f>SUM(AL44:AN44)</f>
        <v>90315532</v>
      </c>
      <c r="AL44" s="163">
        <f>ROUND(IF(LEN(AJ44)&lt;3,VALUE(LEFT(AJ44,1))*3*AD44,(VALUE(LEFT(AJ44,1))*3+IF(VALUE(MID(AJ44,3,LEN(AJ44)-3))&gt;6,2,IF(VALUE(MID(AJ44,3,LEN(AJ44)-3))&gt;0,1,0)))*AD44),0)</f>
        <v>37188748</v>
      </c>
      <c r="AM44" s="163">
        <f>ROUND(5*AD44,0)</f>
        <v>26563392</v>
      </c>
      <c r="AN44" s="164">
        <f>ROUND(((VALUE(LEFT(AE44,2)-20))+IF(LEN(AE44)&lt;4,0,IF(VALUE(MID(AE44,4,LEN(AE44)-4))&gt;6,1,IF(VALUE(MID(AE44,4,LEN(AE44)-4))&gt;2,0.5,0))))*AD44*1/2,0)</f>
        <v>26563392</v>
      </c>
      <c r="AO44"/>
      <c r="AP44"/>
      <c r="AQ44"/>
      <c r="AR44"/>
      <c r="AS44"/>
      <c r="AT44"/>
      <c r="AU44"/>
      <c r="AV44"/>
      <c r="AW44"/>
      <c r="AX44"/>
      <c r="AY44"/>
      <c r="AZ44"/>
      <c r="BA44"/>
      <c r="BB44"/>
      <c r="BC44"/>
      <c r="BD44"/>
      <c r="BE44"/>
      <c r="BF44"/>
      <c r="BG44"/>
      <c r="BH44"/>
      <c r="BI44"/>
      <c r="BJ44"/>
      <c r="BK44"/>
      <c r="BL44"/>
      <c r="BM44"/>
      <c r="BN44"/>
      <c r="BO44"/>
      <c r="BP44"/>
      <c r="BQ44"/>
      <c r="BR44"/>
      <c r="BS44"/>
      <c r="BT44"/>
      <c r="BU44"/>
      <c r="BV44"/>
      <c r="BW44"/>
      <c r="BX44"/>
      <c r="BY44"/>
      <c r="BZ44"/>
      <c r="CA44"/>
      <c r="CB44"/>
      <c r="CC44"/>
      <c r="CD44"/>
      <c r="CE44"/>
      <c r="CF44"/>
      <c r="CG44"/>
      <c r="CH44"/>
      <c r="CI44"/>
      <c r="CJ44"/>
      <c r="CK44"/>
      <c r="CL44"/>
      <c r="CM44"/>
      <c r="CN44"/>
      <c r="CO44"/>
      <c r="CP44"/>
      <c r="CQ44"/>
      <c r="CR44"/>
      <c r="CS44"/>
      <c r="CT44"/>
      <c r="CU44"/>
      <c r="CV44"/>
      <c r="CW44"/>
      <c r="CX44"/>
      <c r="CY44"/>
      <c r="CZ44"/>
      <c r="DA44"/>
      <c r="DB44"/>
      <c r="DC44"/>
      <c r="DD44"/>
      <c r="DE44"/>
      <c r="DF44"/>
      <c r="DG44"/>
      <c r="DH44"/>
      <c r="DI44"/>
      <c r="DJ44"/>
      <c r="DK44"/>
      <c r="DL44"/>
      <c r="DM44"/>
      <c r="DN44"/>
      <c r="DO44"/>
      <c r="DP44"/>
      <c r="DQ44"/>
      <c r="DR44"/>
      <c r="DS44"/>
      <c r="DT44"/>
      <c r="DU44"/>
      <c r="DV44"/>
      <c r="DW44"/>
      <c r="DX44"/>
      <c r="DY44"/>
      <c r="DZ44"/>
      <c r="EA44"/>
      <c r="EB44"/>
      <c r="EC44"/>
      <c r="ED44"/>
      <c r="EE44"/>
      <c r="EF44"/>
      <c r="EG44"/>
      <c r="EH44"/>
      <c r="EI44"/>
      <c r="EJ44"/>
      <c r="EK44"/>
      <c r="EL44"/>
      <c r="EM44"/>
      <c r="EN44"/>
      <c r="EO44"/>
      <c r="EP44"/>
      <c r="EQ44"/>
      <c r="ER44"/>
      <c r="ES44"/>
      <c r="ET44"/>
      <c r="EU44"/>
      <c r="EV44"/>
      <c r="EW44"/>
      <c r="EX44"/>
      <c r="EY44"/>
      <c r="EZ44"/>
      <c r="FA44"/>
      <c r="FB44"/>
      <c r="FC44"/>
      <c r="FD44"/>
      <c r="FE44"/>
      <c r="FF44"/>
      <c r="FG44"/>
      <c r="FH44"/>
      <c r="FI44"/>
      <c r="FJ44"/>
      <c r="FK44"/>
      <c r="FL44"/>
      <c r="FM44"/>
      <c r="FN44"/>
      <c r="FO44"/>
      <c r="FP44"/>
      <c r="FQ44"/>
      <c r="FR44"/>
      <c r="FS44"/>
      <c r="FT44"/>
      <c r="FU44"/>
      <c r="FV44"/>
      <c r="FW44"/>
      <c r="FX44"/>
      <c r="FY44"/>
      <c r="FZ44"/>
      <c r="GA44"/>
      <c r="GB44"/>
      <c r="GC44"/>
      <c r="GD44"/>
      <c r="GE44"/>
      <c r="GF44"/>
      <c r="GG44"/>
      <c r="GH44"/>
      <c r="GI44"/>
      <c r="GJ44"/>
      <c r="GK44"/>
      <c r="GL44"/>
      <c r="GM44"/>
      <c r="GN44"/>
      <c r="GO44"/>
      <c r="GP44"/>
      <c r="GQ44"/>
      <c r="GR44"/>
      <c r="GS44"/>
      <c r="GT44"/>
      <c r="GU44"/>
      <c r="GV44"/>
      <c r="GW44"/>
      <c r="GX44"/>
      <c r="GY44"/>
      <c r="GZ44"/>
      <c r="HA44"/>
      <c r="HB44"/>
      <c r="HC44"/>
      <c r="HD44"/>
      <c r="HE44"/>
      <c r="HF44"/>
      <c r="HG44"/>
      <c r="HH44"/>
      <c r="HI44"/>
      <c r="HJ44"/>
      <c r="HK44"/>
      <c r="HL44"/>
      <c r="HM44"/>
      <c r="HN44"/>
      <c r="HO44"/>
      <c r="HP44"/>
      <c r="HQ44"/>
      <c r="HR44"/>
      <c r="HS44"/>
      <c r="HT44"/>
      <c r="HU44"/>
      <c r="HV44"/>
      <c r="HW44"/>
      <c r="HX44"/>
      <c r="HY44"/>
      <c r="HZ44"/>
      <c r="IA44"/>
      <c r="IB44"/>
      <c r="IC44"/>
      <c r="ID44"/>
      <c r="IE44"/>
      <c r="IF44"/>
      <c r="IG44"/>
      <c r="IH44"/>
      <c r="II44"/>
      <c r="IJ44"/>
      <c r="IK44"/>
      <c r="IL44"/>
      <c r="IM44"/>
      <c r="IN44"/>
      <c r="IO44"/>
      <c r="IP44"/>
      <c r="IQ44"/>
      <c r="IR44"/>
      <c r="IS44"/>
      <c r="IT44"/>
      <c r="IU44"/>
    </row>
    <row r="45" spans="1:255" s="428" customFormat="1" ht="16.5" customHeight="1" x14ac:dyDescent="0.35">
      <c r="A45" s="116"/>
      <c r="B45" s="96"/>
      <c r="C45" s="445"/>
      <c r="D45" s="98"/>
      <c r="E45" s="98"/>
      <c r="F45" s="446"/>
      <c r="G45" s="213"/>
      <c r="H45" s="100"/>
      <c r="I45" s="98"/>
      <c r="J45" s="99"/>
      <c r="K45" s="98"/>
      <c r="L45" s="141"/>
      <c r="M45" s="98"/>
      <c r="N45" s="141"/>
      <c r="O45" s="98"/>
      <c r="P45" s="99"/>
      <c r="Q45" s="99"/>
      <c r="R45" s="100"/>
      <c r="S45" s="98"/>
      <c r="T45" s="480" t="s">
        <v>675</v>
      </c>
      <c r="U45" s="481">
        <v>43342</v>
      </c>
      <c r="V45" s="482">
        <f t="shared" ref="V45" si="16">ROUND(DAYS360(T45,U45,0)/30,0)</f>
        <v>2</v>
      </c>
      <c r="W45" s="483">
        <v>3</v>
      </c>
      <c r="X45" s="483">
        <v>0.25</v>
      </c>
      <c r="Y45" s="484"/>
      <c r="Z45" s="485"/>
      <c r="AA45" s="486">
        <f t="shared" ref="AA45" si="17">W45+X45+Y45*W45+(W45+X45+Y45*W45)*Z45</f>
        <v>3.25</v>
      </c>
      <c r="AB45" s="487">
        <v>1390000</v>
      </c>
      <c r="AC45" s="487">
        <f t="shared" ref="AC45" si="18">V45*AA45*AB45</f>
        <v>9035000</v>
      </c>
      <c r="AD45" s="226"/>
      <c r="AE45" s="424"/>
      <c r="AF45" s="99"/>
      <c r="AG45" s="98"/>
      <c r="AH45" s="99"/>
      <c r="AI45" s="98"/>
      <c r="AJ45" s="113"/>
      <c r="AK45" s="447"/>
      <c r="AL45" s="103"/>
      <c r="AM45" s="103"/>
      <c r="AN45" s="102"/>
      <c r="AO45"/>
      <c r="AP45"/>
      <c r="AQ45"/>
      <c r="AR45"/>
      <c r="AS45"/>
      <c r="AT45"/>
      <c r="AU45"/>
      <c r="AV45"/>
      <c r="AW45"/>
      <c r="AX45"/>
      <c r="AY45"/>
      <c r="AZ45"/>
      <c r="BA45"/>
      <c r="BB45"/>
      <c r="BC45"/>
      <c r="BD45"/>
      <c r="BE45"/>
      <c r="BF45"/>
      <c r="BG45"/>
      <c r="BH45"/>
      <c r="BI45"/>
      <c r="BJ45"/>
      <c r="BK45"/>
      <c r="BL45"/>
      <c r="BM45"/>
      <c r="BN45"/>
      <c r="BO45"/>
      <c r="BP45"/>
      <c r="BQ45"/>
      <c r="BR45"/>
      <c r="BS45"/>
      <c r="BT45"/>
      <c r="BU45"/>
      <c r="BV45"/>
      <c r="BW45"/>
      <c r="BX45"/>
      <c r="BY45"/>
      <c r="BZ45"/>
      <c r="CA45"/>
      <c r="CB45"/>
      <c r="CC45"/>
      <c r="CD45"/>
      <c r="CE45"/>
      <c r="CF45"/>
      <c r="CG45"/>
      <c r="CH45"/>
      <c r="CI45"/>
      <c r="CJ45"/>
      <c r="CK45"/>
      <c r="CL45"/>
      <c r="CM45"/>
      <c r="CN45"/>
      <c r="CO45"/>
      <c r="CP45"/>
      <c r="CQ45"/>
      <c r="CR45"/>
      <c r="CS45"/>
      <c r="CT45"/>
      <c r="CU45"/>
      <c r="CV45"/>
      <c r="CW45"/>
      <c r="CX45"/>
      <c r="CY45"/>
      <c r="CZ45"/>
      <c r="DA45"/>
      <c r="DB45"/>
      <c r="DC45"/>
      <c r="DD45"/>
      <c r="DE45"/>
      <c r="DF45"/>
      <c r="DG45"/>
      <c r="DH45"/>
      <c r="DI45"/>
      <c r="DJ45"/>
      <c r="DK45"/>
      <c r="DL45"/>
      <c r="DM45"/>
      <c r="DN45"/>
      <c r="DO45"/>
      <c r="DP45"/>
      <c r="DQ45"/>
      <c r="DR45"/>
      <c r="DS45"/>
      <c r="DT45"/>
      <c r="DU45"/>
      <c r="DV45"/>
      <c r="DW45"/>
      <c r="DX45"/>
      <c r="DY45"/>
      <c r="DZ45"/>
      <c r="EA45"/>
      <c r="EB45"/>
      <c r="EC45"/>
      <c r="ED45"/>
      <c r="EE45"/>
      <c r="EF45"/>
      <c r="EG45"/>
      <c r="EH45"/>
      <c r="EI45"/>
      <c r="EJ45"/>
      <c r="EK45"/>
      <c r="EL45"/>
      <c r="EM45"/>
      <c r="EN45"/>
      <c r="EO45"/>
      <c r="EP45"/>
      <c r="EQ45"/>
      <c r="ER45"/>
      <c r="ES45"/>
      <c r="ET45"/>
      <c r="EU45"/>
      <c r="EV45"/>
      <c r="EW45"/>
      <c r="EX45"/>
      <c r="EY45"/>
      <c r="EZ45"/>
      <c r="FA45"/>
      <c r="FB45"/>
      <c r="FC45"/>
      <c r="FD45"/>
      <c r="FE45"/>
      <c r="FF45"/>
      <c r="FG45"/>
      <c r="FH45"/>
      <c r="FI45"/>
      <c r="FJ45"/>
      <c r="FK45"/>
      <c r="FL45"/>
      <c r="FM45"/>
      <c r="FN45"/>
      <c r="FO45"/>
      <c r="FP45"/>
      <c r="FQ45"/>
      <c r="FR45"/>
      <c r="FS45"/>
      <c r="FT45"/>
      <c r="FU45"/>
      <c r="FV45"/>
      <c r="FW45"/>
      <c r="FX45"/>
      <c r="FY45"/>
      <c r="FZ45"/>
      <c r="GA45"/>
      <c r="GB45"/>
      <c r="GC45"/>
      <c r="GD45"/>
      <c r="GE45"/>
      <c r="GF45"/>
      <c r="GG45"/>
      <c r="GH45"/>
      <c r="GI45"/>
      <c r="GJ45"/>
      <c r="GK45"/>
      <c r="GL45"/>
      <c r="GM45"/>
      <c r="GN45"/>
      <c r="GO45"/>
      <c r="GP45"/>
      <c r="GQ45"/>
      <c r="GR45"/>
      <c r="GS45"/>
      <c r="GT45"/>
      <c r="GU45"/>
      <c r="GV45"/>
      <c r="GW45"/>
      <c r="GX45"/>
      <c r="GY45"/>
      <c r="GZ45"/>
      <c r="HA45"/>
      <c r="HB45"/>
      <c r="HC45"/>
      <c r="HD45"/>
      <c r="HE45"/>
      <c r="HF45"/>
      <c r="HG45"/>
      <c r="HH45"/>
      <c r="HI45"/>
      <c r="HJ45"/>
      <c r="HK45"/>
      <c r="HL45"/>
      <c r="HM45"/>
      <c r="HN45"/>
      <c r="HO45"/>
      <c r="HP45"/>
      <c r="HQ45"/>
      <c r="HR45"/>
      <c r="HS45"/>
      <c r="HT45"/>
      <c r="HU45"/>
      <c r="HV45"/>
      <c r="HW45"/>
      <c r="HX45"/>
      <c r="HY45"/>
      <c r="HZ45"/>
      <c r="IA45"/>
      <c r="IB45"/>
      <c r="IC45"/>
      <c r="ID45"/>
      <c r="IE45"/>
      <c r="IF45"/>
      <c r="IG45"/>
      <c r="IH45"/>
      <c r="II45"/>
      <c r="IJ45"/>
      <c r="IK45"/>
      <c r="IL45"/>
      <c r="IM45"/>
      <c r="IN45"/>
      <c r="IO45"/>
      <c r="IP45"/>
      <c r="IQ45"/>
      <c r="IR45"/>
      <c r="IS45"/>
      <c r="IT45"/>
      <c r="IU45"/>
    </row>
    <row r="46" spans="1:255" s="428" customFormat="1" ht="16.5" customHeight="1" x14ac:dyDescent="0.35">
      <c r="A46" s="116"/>
      <c r="B46" s="96"/>
      <c r="C46" s="445"/>
      <c r="D46" s="98"/>
      <c r="E46" s="98"/>
      <c r="F46" s="446"/>
      <c r="G46" s="213"/>
      <c r="H46" s="100"/>
      <c r="I46" s="98"/>
      <c r="J46" s="99"/>
      <c r="K46" s="98"/>
      <c r="L46" s="141"/>
      <c r="M46" s="98"/>
      <c r="N46" s="141"/>
      <c r="O46" s="98"/>
      <c r="P46" s="99"/>
      <c r="Q46" s="99"/>
      <c r="R46" s="100"/>
      <c r="S46" s="98"/>
      <c r="T46" s="480">
        <v>43344</v>
      </c>
      <c r="U46" s="481">
        <v>43646</v>
      </c>
      <c r="V46" s="482">
        <f t="shared" si="13"/>
        <v>10</v>
      </c>
      <c r="W46" s="483">
        <v>3.33</v>
      </c>
      <c r="X46" s="483">
        <v>0.25</v>
      </c>
      <c r="Y46" s="484"/>
      <c r="Z46" s="485"/>
      <c r="AA46" s="486">
        <f t="shared" si="14"/>
        <v>3.58</v>
      </c>
      <c r="AB46" s="487">
        <v>1390000</v>
      </c>
      <c r="AC46" s="487">
        <f t="shared" si="15"/>
        <v>49761999.999999993</v>
      </c>
      <c r="AD46" s="226"/>
      <c r="AE46" s="99"/>
      <c r="AF46" s="99"/>
      <c r="AG46" s="98"/>
      <c r="AH46" s="99"/>
      <c r="AI46" s="98"/>
      <c r="AJ46" s="113"/>
      <c r="AK46" s="447"/>
      <c r="AL46" s="103"/>
      <c r="AM46" s="103"/>
      <c r="AN46" s="102"/>
      <c r="AO46"/>
      <c r="AP46"/>
      <c r="AQ46"/>
      <c r="AR46"/>
      <c r="AS46"/>
      <c r="AT46"/>
      <c r="AU46"/>
      <c r="AV46"/>
      <c r="AW46"/>
      <c r="AX46"/>
      <c r="AY46"/>
      <c r="AZ46"/>
      <c r="BA46"/>
      <c r="BB46"/>
      <c r="BC46"/>
      <c r="BD46"/>
      <c r="BE46"/>
      <c r="BF46"/>
      <c r="BG46"/>
      <c r="BH46"/>
      <c r="BI46"/>
      <c r="BJ46"/>
      <c r="BK46"/>
      <c r="BL46"/>
      <c r="BM46"/>
      <c r="BN46"/>
      <c r="BO46"/>
      <c r="BP46"/>
      <c r="BQ46"/>
      <c r="BR46"/>
      <c r="BS46"/>
      <c r="BT46"/>
      <c r="BU46"/>
      <c r="BV46"/>
      <c r="BW46"/>
      <c r="BX46"/>
      <c r="BY46"/>
      <c r="BZ46"/>
      <c r="CA46"/>
      <c r="CB46"/>
      <c r="CC46"/>
      <c r="CD46"/>
      <c r="CE46"/>
      <c r="CF46"/>
      <c r="CG46"/>
      <c r="CH46"/>
      <c r="CI46"/>
      <c r="CJ46"/>
      <c r="CK46"/>
      <c r="CL46"/>
      <c r="CM46"/>
      <c r="CN46"/>
      <c r="CO46"/>
      <c r="CP46"/>
      <c r="CQ46"/>
      <c r="CR46"/>
      <c r="CS46"/>
      <c r="CT46"/>
      <c r="CU46"/>
      <c r="CV46"/>
      <c r="CW46"/>
      <c r="CX46"/>
      <c r="CY46"/>
      <c r="CZ46"/>
      <c r="DA46"/>
      <c r="DB46"/>
      <c r="DC46"/>
      <c r="DD46"/>
      <c r="DE46"/>
      <c r="DF46"/>
      <c r="DG46"/>
      <c r="DH46"/>
      <c r="DI46"/>
      <c r="DJ46"/>
      <c r="DK46"/>
      <c r="DL46"/>
      <c r="DM46"/>
      <c r="DN46"/>
      <c r="DO46"/>
      <c r="DP46"/>
      <c r="DQ46"/>
      <c r="DR46"/>
      <c r="DS46"/>
      <c r="DT46"/>
      <c r="DU46"/>
      <c r="DV46"/>
      <c r="DW46"/>
      <c r="DX46"/>
      <c r="DY46"/>
      <c r="DZ46"/>
      <c r="EA46"/>
      <c r="EB46"/>
      <c r="EC46"/>
      <c r="ED46"/>
      <c r="EE46"/>
      <c r="EF46"/>
      <c r="EG46"/>
      <c r="EH46"/>
      <c r="EI46"/>
      <c r="EJ46"/>
      <c r="EK46"/>
      <c r="EL46"/>
      <c r="EM46"/>
      <c r="EN46"/>
      <c r="EO46"/>
      <c r="EP46"/>
      <c r="EQ46"/>
      <c r="ER46"/>
      <c r="ES46"/>
      <c r="ET46"/>
      <c r="EU46"/>
      <c r="EV46"/>
      <c r="EW46"/>
      <c r="EX46"/>
      <c r="EY46"/>
      <c r="EZ46"/>
      <c r="FA46"/>
      <c r="FB46"/>
      <c r="FC46"/>
      <c r="FD46"/>
      <c r="FE46"/>
      <c r="FF46"/>
      <c r="FG46"/>
      <c r="FH46"/>
      <c r="FI46"/>
      <c r="FJ46"/>
      <c r="FK46"/>
      <c r="FL46"/>
      <c r="FM46"/>
      <c r="FN46"/>
      <c r="FO46"/>
      <c r="FP46"/>
      <c r="FQ46"/>
      <c r="FR46"/>
      <c r="FS46"/>
      <c r="FT46"/>
      <c r="FU46"/>
      <c r="FV46"/>
      <c r="FW46"/>
      <c r="FX46"/>
      <c r="FY46"/>
      <c r="FZ46"/>
      <c r="GA46"/>
      <c r="GB46"/>
      <c r="GC46"/>
      <c r="GD46"/>
      <c r="GE46"/>
      <c r="GF46"/>
      <c r="GG46"/>
      <c r="GH46"/>
      <c r="GI46"/>
      <c r="GJ46"/>
      <c r="GK46"/>
      <c r="GL46"/>
      <c r="GM46"/>
      <c r="GN46"/>
      <c r="GO46"/>
      <c r="GP46"/>
      <c r="GQ46"/>
      <c r="GR46"/>
      <c r="GS46"/>
      <c r="GT46"/>
      <c r="GU46"/>
      <c r="GV46"/>
      <c r="GW46"/>
      <c r="GX46"/>
      <c r="GY46"/>
      <c r="GZ46"/>
      <c r="HA46"/>
      <c r="HB46"/>
      <c r="HC46"/>
      <c r="HD46"/>
      <c r="HE46"/>
      <c r="HF46"/>
      <c r="HG46"/>
      <c r="HH46"/>
      <c r="HI46"/>
      <c r="HJ46"/>
      <c r="HK46"/>
      <c r="HL46"/>
      <c r="HM46"/>
      <c r="HN46"/>
      <c r="HO46"/>
      <c r="HP46"/>
      <c r="HQ46"/>
      <c r="HR46"/>
      <c r="HS46"/>
      <c r="HT46"/>
      <c r="HU46"/>
      <c r="HV46"/>
      <c r="HW46"/>
      <c r="HX46"/>
      <c r="HY46"/>
      <c r="HZ46"/>
      <c r="IA46"/>
      <c r="IB46"/>
      <c r="IC46"/>
      <c r="ID46"/>
      <c r="IE46"/>
      <c r="IF46"/>
      <c r="IG46"/>
      <c r="IH46"/>
      <c r="II46"/>
      <c r="IJ46"/>
      <c r="IK46"/>
      <c r="IL46"/>
      <c r="IM46"/>
      <c r="IN46"/>
      <c r="IO46"/>
      <c r="IP46"/>
      <c r="IQ46"/>
      <c r="IR46"/>
      <c r="IS46"/>
      <c r="IT46"/>
      <c r="IU46"/>
    </row>
    <row r="47" spans="1:255" s="428" customFormat="1" ht="16.5" customHeight="1" x14ac:dyDescent="0.35">
      <c r="A47" s="116"/>
      <c r="B47" s="96"/>
      <c r="C47" s="445"/>
      <c r="D47" s="98"/>
      <c r="E47" s="98"/>
      <c r="F47" s="446"/>
      <c r="G47" s="213"/>
      <c r="H47" s="100"/>
      <c r="I47" s="98"/>
      <c r="J47" s="99"/>
      <c r="K47" s="98"/>
      <c r="L47" s="141"/>
      <c r="M47" s="98"/>
      <c r="N47" s="141"/>
      <c r="O47" s="98"/>
      <c r="P47" s="99"/>
      <c r="Q47" s="99"/>
      <c r="R47" s="100"/>
      <c r="S47" s="98"/>
      <c r="T47" s="480" t="s">
        <v>677</v>
      </c>
      <c r="U47" s="481">
        <v>44469</v>
      </c>
      <c r="V47" s="482">
        <f t="shared" si="13"/>
        <v>27</v>
      </c>
      <c r="W47" s="483">
        <v>3.33</v>
      </c>
      <c r="X47" s="483">
        <v>0.25</v>
      </c>
      <c r="Y47" s="484"/>
      <c r="Z47" s="485"/>
      <c r="AA47" s="486">
        <f t="shared" si="14"/>
        <v>3.58</v>
      </c>
      <c r="AB47" s="487">
        <v>1490000</v>
      </c>
      <c r="AC47" s="487">
        <f t="shared" si="15"/>
        <v>144023400</v>
      </c>
      <c r="AD47" s="226"/>
      <c r="AE47" s="99"/>
      <c r="AF47" s="99"/>
      <c r="AG47" s="98"/>
      <c r="AH47" s="99"/>
      <c r="AI47" s="98"/>
      <c r="AJ47" s="113"/>
      <c r="AK47" s="447"/>
      <c r="AL47" s="103"/>
      <c r="AM47" s="103"/>
      <c r="AN47" s="102"/>
      <c r="AO47"/>
      <c r="AP47"/>
      <c r="AQ47"/>
      <c r="AR47"/>
      <c r="AS47"/>
      <c r="AT47"/>
      <c r="AU47"/>
      <c r="AV47"/>
      <c r="AW47"/>
      <c r="AX47"/>
      <c r="AY47"/>
      <c r="AZ47"/>
      <c r="BA47"/>
      <c r="BB47"/>
      <c r="BC47"/>
      <c r="BD47"/>
      <c r="BE47"/>
      <c r="BF47"/>
      <c r="BG47"/>
      <c r="BH47"/>
      <c r="BI47"/>
      <c r="BJ47"/>
      <c r="BK47"/>
      <c r="BL47"/>
      <c r="BM47"/>
      <c r="BN47"/>
      <c r="BO47"/>
      <c r="BP47"/>
      <c r="BQ47"/>
      <c r="BR47"/>
      <c r="BS47"/>
      <c r="BT47"/>
      <c r="BU47"/>
      <c r="BV47"/>
      <c r="BW47"/>
      <c r="BX47"/>
      <c r="BY47"/>
      <c r="BZ47"/>
      <c r="CA47"/>
      <c r="CB47"/>
      <c r="CC47"/>
      <c r="CD47"/>
      <c r="CE47"/>
      <c r="CF47"/>
      <c r="CG47"/>
      <c r="CH47"/>
      <c r="CI47"/>
      <c r="CJ47"/>
      <c r="CK47"/>
      <c r="CL47"/>
      <c r="CM47"/>
      <c r="CN47"/>
      <c r="CO47"/>
      <c r="CP47"/>
      <c r="CQ47"/>
      <c r="CR47"/>
      <c r="CS47"/>
      <c r="CT47"/>
      <c r="CU47"/>
      <c r="CV47"/>
      <c r="CW47"/>
      <c r="CX47"/>
      <c r="CY47"/>
      <c r="CZ47"/>
      <c r="DA47"/>
      <c r="DB47"/>
      <c r="DC47"/>
      <c r="DD47"/>
      <c r="DE47"/>
      <c r="DF47"/>
      <c r="DG47"/>
      <c r="DH47"/>
      <c r="DI47"/>
      <c r="DJ47"/>
      <c r="DK47"/>
      <c r="DL47"/>
      <c r="DM47"/>
      <c r="DN47"/>
      <c r="DO47"/>
      <c r="DP47"/>
      <c r="DQ47"/>
      <c r="DR47"/>
      <c r="DS47"/>
      <c r="DT47"/>
      <c r="DU47"/>
      <c r="DV47"/>
      <c r="DW47"/>
      <c r="DX47"/>
      <c r="DY47"/>
      <c r="DZ47"/>
      <c r="EA47"/>
      <c r="EB47"/>
      <c r="EC47"/>
      <c r="ED47"/>
      <c r="EE47"/>
      <c r="EF47"/>
      <c r="EG47"/>
      <c r="EH47"/>
      <c r="EI47"/>
      <c r="EJ47"/>
      <c r="EK47"/>
      <c r="EL47"/>
      <c r="EM47"/>
      <c r="EN47"/>
      <c r="EO47"/>
      <c r="EP47"/>
      <c r="EQ47"/>
      <c r="ER47"/>
      <c r="ES47"/>
      <c r="ET47"/>
      <c r="EU47"/>
      <c r="EV47"/>
      <c r="EW47"/>
      <c r="EX47"/>
      <c r="EY47"/>
      <c r="EZ47"/>
      <c r="FA47"/>
      <c r="FB47"/>
      <c r="FC47"/>
      <c r="FD47"/>
      <c r="FE47"/>
      <c r="FF47"/>
      <c r="FG47"/>
      <c r="FH47"/>
      <c r="FI47"/>
      <c r="FJ47"/>
      <c r="FK47"/>
      <c r="FL47"/>
      <c r="FM47"/>
      <c r="FN47"/>
      <c r="FO47"/>
      <c r="FP47"/>
      <c r="FQ47"/>
      <c r="FR47"/>
      <c r="FS47"/>
      <c r="FT47"/>
      <c r="FU47"/>
      <c r="FV47"/>
      <c r="FW47"/>
      <c r="FX47"/>
      <c r="FY47"/>
      <c r="FZ47"/>
      <c r="GA47"/>
      <c r="GB47"/>
      <c r="GC47"/>
      <c r="GD47"/>
      <c r="GE47"/>
      <c r="GF47"/>
      <c r="GG47"/>
      <c r="GH47"/>
      <c r="GI47"/>
      <c r="GJ47"/>
      <c r="GK47"/>
      <c r="GL47"/>
      <c r="GM47"/>
      <c r="GN47"/>
      <c r="GO47"/>
      <c r="GP47"/>
      <c r="GQ47"/>
      <c r="GR47"/>
      <c r="GS47"/>
      <c r="GT47"/>
      <c r="GU47"/>
      <c r="GV47"/>
      <c r="GW47"/>
      <c r="GX47"/>
      <c r="GY47"/>
      <c r="GZ47"/>
      <c r="HA47"/>
      <c r="HB47"/>
      <c r="HC47"/>
      <c r="HD47"/>
      <c r="HE47"/>
      <c r="HF47"/>
      <c r="HG47"/>
      <c r="HH47"/>
      <c r="HI47"/>
      <c r="HJ47"/>
      <c r="HK47"/>
      <c r="HL47"/>
      <c r="HM47"/>
      <c r="HN47"/>
      <c r="HO47"/>
      <c r="HP47"/>
      <c r="HQ47"/>
      <c r="HR47"/>
      <c r="HS47"/>
      <c r="HT47"/>
      <c r="HU47"/>
      <c r="HV47"/>
      <c r="HW47"/>
      <c r="HX47"/>
      <c r="HY47"/>
      <c r="HZ47"/>
      <c r="IA47"/>
      <c r="IB47"/>
      <c r="IC47"/>
      <c r="ID47"/>
      <c r="IE47"/>
      <c r="IF47"/>
      <c r="IG47"/>
      <c r="IH47"/>
      <c r="II47"/>
      <c r="IJ47"/>
      <c r="IK47"/>
      <c r="IL47"/>
      <c r="IM47"/>
      <c r="IN47"/>
      <c r="IO47"/>
      <c r="IP47"/>
      <c r="IQ47"/>
      <c r="IR47"/>
      <c r="IS47"/>
      <c r="IT47"/>
      <c r="IU47"/>
    </row>
    <row r="48" spans="1:255" s="428" customFormat="1" ht="16.5" customHeight="1" x14ac:dyDescent="0.35">
      <c r="A48" s="116"/>
      <c r="B48" s="96"/>
      <c r="C48" s="445"/>
      <c r="D48" s="98"/>
      <c r="E48" s="98"/>
      <c r="F48" s="446"/>
      <c r="G48" s="213"/>
      <c r="H48" s="100"/>
      <c r="I48" s="98"/>
      <c r="J48" s="99"/>
      <c r="K48" s="98"/>
      <c r="L48" s="141"/>
      <c r="M48" s="98"/>
      <c r="N48" s="141"/>
      <c r="O48" s="98"/>
      <c r="P48" s="99"/>
      <c r="Q48" s="99"/>
      <c r="R48" s="100"/>
      <c r="S48" s="98"/>
      <c r="T48" s="480">
        <v>44470</v>
      </c>
      <c r="U48" s="481">
        <v>44985</v>
      </c>
      <c r="V48" s="482">
        <f t="shared" si="13"/>
        <v>17</v>
      </c>
      <c r="W48" s="483">
        <v>3.66</v>
      </c>
      <c r="X48" s="483">
        <v>0.25</v>
      </c>
      <c r="Y48" s="533"/>
      <c r="Z48" s="534"/>
      <c r="AA48" s="535">
        <f t="shared" si="14"/>
        <v>3.91</v>
      </c>
      <c r="AB48" s="536">
        <v>1490000</v>
      </c>
      <c r="AC48" s="536">
        <f t="shared" si="15"/>
        <v>99040300</v>
      </c>
      <c r="AD48" s="226"/>
      <c r="AE48" s="99"/>
      <c r="AF48" s="99"/>
      <c r="AG48" s="98"/>
      <c r="AH48" s="99"/>
      <c r="AI48" s="98"/>
      <c r="AJ48" s="113"/>
      <c r="AK48" s="447"/>
      <c r="AL48" s="103"/>
      <c r="AM48" s="103"/>
      <c r="AN48" s="102"/>
      <c r="AO48"/>
      <c r="AP48"/>
      <c r="AQ48"/>
      <c r="AR48"/>
      <c r="AS48"/>
      <c r="AT48"/>
      <c r="AU48"/>
      <c r="AV48"/>
      <c r="AW48"/>
      <c r="AX48"/>
      <c r="AY48"/>
      <c r="AZ48"/>
      <c r="BA48"/>
      <c r="BB48"/>
      <c r="BC48"/>
      <c r="BD48"/>
      <c r="BE48"/>
      <c r="BF48"/>
      <c r="BG48"/>
      <c r="BH48"/>
      <c r="BI48"/>
      <c r="BJ48"/>
      <c r="BK48"/>
      <c r="BL48"/>
      <c r="BM48"/>
      <c r="BN48"/>
      <c r="BO48"/>
      <c r="BP48"/>
      <c r="BQ48"/>
      <c r="BR48"/>
      <c r="BS48"/>
      <c r="BT48"/>
      <c r="BU48"/>
      <c r="BV48"/>
      <c r="BW48"/>
      <c r="BX48"/>
      <c r="BY48"/>
      <c r="BZ48"/>
      <c r="CA48"/>
      <c r="CB48"/>
      <c r="CC48"/>
      <c r="CD48"/>
      <c r="CE48"/>
      <c r="CF48"/>
      <c r="CG48"/>
      <c r="CH48"/>
      <c r="CI48"/>
      <c r="CJ48"/>
      <c r="CK48"/>
      <c r="CL48"/>
      <c r="CM48"/>
      <c r="CN48"/>
      <c r="CO48"/>
      <c r="CP48"/>
      <c r="CQ48"/>
      <c r="CR48"/>
      <c r="CS48"/>
      <c r="CT48"/>
      <c r="CU48"/>
      <c r="CV48"/>
      <c r="CW48"/>
      <c r="CX48"/>
      <c r="CY48"/>
      <c r="CZ48"/>
      <c r="DA48"/>
      <c r="DB48"/>
      <c r="DC48"/>
      <c r="DD48"/>
      <c r="DE48"/>
      <c r="DF48"/>
      <c r="DG48"/>
      <c r="DH48"/>
      <c r="DI48"/>
      <c r="DJ48"/>
      <c r="DK48"/>
      <c r="DL48"/>
      <c r="DM48"/>
      <c r="DN48"/>
      <c r="DO48"/>
      <c r="DP48"/>
      <c r="DQ48"/>
      <c r="DR48"/>
      <c r="DS48"/>
      <c r="DT48"/>
      <c r="DU48"/>
      <c r="DV48"/>
      <c r="DW48"/>
      <c r="DX48"/>
      <c r="DY48"/>
      <c r="DZ48"/>
      <c r="EA48"/>
      <c r="EB48"/>
      <c r="EC48"/>
      <c r="ED48"/>
      <c r="EE48"/>
      <c r="EF48"/>
      <c r="EG48"/>
      <c r="EH48"/>
      <c r="EI48"/>
      <c r="EJ48"/>
      <c r="EK48"/>
      <c r="EL48"/>
      <c r="EM48"/>
      <c r="EN48"/>
      <c r="EO48"/>
      <c r="EP48"/>
      <c r="EQ48"/>
      <c r="ER48"/>
      <c r="ES48"/>
      <c r="ET48"/>
      <c r="EU48"/>
      <c r="EV48"/>
      <c r="EW48"/>
      <c r="EX48"/>
      <c r="EY48"/>
      <c r="EZ48"/>
      <c r="FA48"/>
      <c r="FB48"/>
      <c r="FC48"/>
      <c r="FD48"/>
      <c r="FE48"/>
      <c r="FF48"/>
      <c r="FG48"/>
      <c r="FH48"/>
      <c r="FI48"/>
      <c r="FJ48"/>
      <c r="FK48"/>
      <c r="FL48"/>
      <c r="FM48"/>
      <c r="FN48"/>
      <c r="FO48"/>
      <c r="FP48"/>
      <c r="FQ48"/>
      <c r="FR48"/>
      <c r="FS48"/>
      <c r="FT48"/>
      <c r="FU48"/>
      <c r="FV48"/>
      <c r="FW48"/>
      <c r="FX48"/>
      <c r="FY48"/>
      <c r="FZ48"/>
      <c r="GA48"/>
      <c r="GB48"/>
      <c r="GC48"/>
      <c r="GD48"/>
      <c r="GE48"/>
      <c r="GF48"/>
      <c r="GG48"/>
      <c r="GH48"/>
      <c r="GI48"/>
      <c r="GJ48"/>
      <c r="GK48"/>
      <c r="GL48"/>
      <c r="GM48"/>
      <c r="GN48"/>
      <c r="GO48"/>
      <c r="GP48"/>
      <c r="GQ48"/>
      <c r="GR48"/>
      <c r="GS48"/>
      <c r="GT48"/>
      <c r="GU48"/>
      <c r="GV48"/>
      <c r="GW48"/>
      <c r="GX48"/>
      <c r="GY48"/>
      <c r="GZ48"/>
      <c r="HA48"/>
      <c r="HB48"/>
      <c r="HC48"/>
      <c r="HD48"/>
      <c r="HE48"/>
      <c r="HF48"/>
      <c r="HG48"/>
      <c r="HH48"/>
      <c r="HI48"/>
      <c r="HJ48"/>
      <c r="HK48"/>
      <c r="HL48"/>
      <c r="HM48"/>
      <c r="HN48"/>
      <c r="HO48"/>
      <c r="HP48"/>
      <c r="HQ48"/>
      <c r="HR48"/>
      <c r="HS48"/>
      <c r="HT48"/>
      <c r="HU48"/>
      <c r="HV48"/>
      <c r="HW48"/>
      <c r="HX48"/>
      <c r="HY48"/>
      <c r="HZ48"/>
      <c r="IA48"/>
      <c r="IB48"/>
      <c r="IC48"/>
      <c r="ID48"/>
      <c r="IE48"/>
      <c r="IF48"/>
      <c r="IG48"/>
      <c r="IH48"/>
      <c r="II48"/>
      <c r="IJ48"/>
      <c r="IK48"/>
      <c r="IL48"/>
      <c r="IM48"/>
      <c r="IN48"/>
      <c r="IO48"/>
      <c r="IP48"/>
      <c r="IQ48"/>
      <c r="IR48"/>
      <c r="IS48"/>
      <c r="IT48"/>
      <c r="IU48"/>
    </row>
    <row r="49" spans="1:40" s="428" customFormat="1" ht="16.5" customHeight="1" x14ac:dyDescent="0.35">
      <c r="A49" s="116"/>
      <c r="B49" s="435"/>
      <c r="C49" s="436"/>
      <c r="D49" s="437"/>
      <c r="E49" s="437"/>
      <c r="F49" s="438"/>
      <c r="G49" s="439"/>
      <c r="H49" s="438"/>
      <c r="I49" s="438"/>
      <c r="J49" s="438"/>
      <c r="K49" s="438"/>
      <c r="L49" s="438"/>
      <c r="M49" s="438"/>
      <c r="N49" s="438"/>
      <c r="O49" s="438"/>
      <c r="P49" s="438"/>
      <c r="Q49" s="438"/>
      <c r="R49" s="438"/>
      <c r="S49" s="438"/>
      <c r="T49" s="488"/>
      <c r="U49" s="488"/>
      <c r="V49" s="489">
        <f>SUM(V44:V48)</f>
        <v>60</v>
      </c>
      <c r="W49" s="490"/>
      <c r="X49" s="488"/>
      <c r="Y49" s="488"/>
      <c r="Z49" s="488"/>
      <c r="AA49" s="490"/>
      <c r="AB49" s="491"/>
      <c r="AC49" s="491">
        <f>SUM(AC44:AC48)</f>
        <v>318760700</v>
      </c>
      <c r="AD49" s="437"/>
      <c r="AE49" s="437"/>
      <c r="AF49" s="437"/>
      <c r="AG49" s="437"/>
      <c r="AH49" s="437"/>
      <c r="AI49" s="437"/>
      <c r="AJ49" s="437"/>
      <c r="AK49" s="231"/>
      <c r="AL49" s="437"/>
      <c r="AM49" s="437"/>
      <c r="AN49" s="440"/>
    </row>
  </sheetData>
  <autoFilter ref="A14:A38"/>
  <mergeCells count="36">
    <mergeCell ref="P13:Q13"/>
    <mergeCell ref="R13:S13"/>
    <mergeCell ref="AJ13:AJ14"/>
    <mergeCell ref="AK13:AN13"/>
    <mergeCell ref="T13:AC13"/>
    <mergeCell ref="AD13:AD14"/>
    <mergeCell ref="AE13:AF13"/>
    <mergeCell ref="AG13:AG14"/>
    <mergeCell ref="AH13:AH14"/>
    <mergeCell ref="AI13:AI14"/>
    <mergeCell ref="G13:G14"/>
    <mergeCell ref="H13:I13"/>
    <mergeCell ref="J13:K13"/>
    <mergeCell ref="L13:M13"/>
    <mergeCell ref="N13:O13"/>
    <mergeCell ref="B13:B14"/>
    <mergeCell ref="C13:C14"/>
    <mergeCell ref="D13:D14"/>
    <mergeCell ref="E13:E14"/>
    <mergeCell ref="F13:F14"/>
    <mergeCell ref="B8:AN8"/>
    <mergeCell ref="B9:AN9"/>
    <mergeCell ref="B10:AN10"/>
    <mergeCell ref="B11:AN11"/>
    <mergeCell ref="B12:AN12"/>
    <mergeCell ref="B4:D4"/>
    <mergeCell ref="AF4:AN4"/>
    <mergeCell ref="B5:D5"/>
    <mergeCell ref="AF5:AN5"/>
    <mergeCell ref="B7:AN7"/>
    <mergeCell ref="B1:D1"/>
    <mergeCell ref="AK1:AN1"/>
    <mergeCell ref="B2:D2"/>
    <mergeCell ref="AF2:AN2"/>
    <mergeCell ref="B3:D3"/>
    <mergeCell ref="AF3:AN3"/>
  </mergeCells>
  <conditionalFormatting sqref="AF17:AH17">
    <cfRule type="timePeriod" dxfId="0" priority="1" timePeriod="lastMonth">
      <formula>AND(MONTH(AF17)=MONTH(EDATE(TODAY(),0-1)),YEAR(AF17)=YEAR(EDATE(TODAY(),0-1)))</formula>
    </cfRule>
  </conditionalFormatting>
  <pageMargins left="0.7" right="0.7" top="0.75" bottom="0.75" header="0.3" footer="0.3"/>
  <pageSetup paperSize="9" orientation="portrait" verticalDpi="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U26"/>
  <sheetViews>
    <sheetView topLeftCell="A14" zoomScale="118" zoomScaleNormal="118" workbookViewId="0">
      <pane xSplit="4" ySplit="1" topLeftCell="E15" activePane="bottomRight" state="frozen"/>
      <selection activeCell="A14" sqref="A14"/>
      <selection pane="topRight" activeCell="E14" sqref="E14"/>
      <selection pane="bottomLeft" activeCell="A15" sqref="A15"/>
      <selection pane="bottomRight" activeCell="C16" sqref="C16"/>
    </sheetView>
  </sheetViews>
  <sheetFormatPr defaultRowHeight="14.5" x14ac:dyDescent="0.35"/>
  <cols>
    <col min="1" max="1" width="10.7265625" style="116" customWidth="1"/>
    <col min="2" max="2" width="2.453125" style="442" customWidth="1"/>
    <col min="3" max="3" width="15.7265625" style="441" customWidth="1"/>
    <col min="4" max="4" width="7.453125" style="442" customWidth="1"/>
    <col min="5" max="5" width="7.54296875" style="442" customWidth="1"/>
    <col min="6" max="6" width="4.26953125" style="443" customWidth="1"/>
    <col min="7" max="7" width="16.453125" style="444" customWidth="1"/>
    <col min="8" max="8" width="3.54296875" style="443" customWidth="1"/>
    <col min="9" max="9" width="9" style="443" customWidth="1"/>
    <col min="10" max="10" width="3.7265625" style="443" customWidth="1"/>
    <col min="11" max="11" width="9.26953125" style="443" customWidth="1"/>
    <col min="12" max="12" width="3.26953125" style="443" customWidth="1"/>
    <col min="13" max="13" width="7.1796875" style="443" customWidth="1"/>
    <col min="14" max="14" width="3.26953125" style="443" customWidth="1"/>
    <col min="15" max="15" width="7.54296875" style="443" customWidth="1"/>
    <col min="16" max="16" width="3.453125" style="443" bestFit="1" customWidth="1"/>
    <col min="17" max="17" width="6.7265625" style="443" customWidth="1"/>
    <col min="18" max="18" width="6.26953125" style="443" customWidth="1"/>
    <col min="19" max="19" width="9.1796875" style="443" customWidth="1"/>
    <col min="20" max="21" width="9.1796875" style="442" customWidth="1"/>
    <col min="22" max="22" width="3.26953125" style="442" customWidth="1"/>
    <col min="23" max="23" width="3.7265625" style="441" customWidth="1"/>
    <col min="24" max="24" width="4" style="442" customWidth="1"/>
    <col min="25" max="25" width="3.81640625" style="442" customWidth="1"/>
    <col min="26" max="26" width="5.1796875" style="441" customWidth="1"/>
    <col min="27" max="27" width="5.26953125" style="442" customWidth="1"/>
    <col min="28" max="28" width="7.1796875" style="441" customWidth="1"/>
    <col min="29" max="29" width="10.7265625" style="442" bestFit="1" customWidth="1"/>
    <col min="30" max="30" width="11.1796875" style="442" bestFit="1" customWidth="1"/>
    <col min="31" max="31" width="5.1796875" style="442" customWidth="1"/>
    <col min="32" max="32" width="8.7265625" style="442" customWidth="1"/>
    <col min="33" max="33" width="8" style="442" customWidth="1"/>
    <col min="34" max="34" width="8.1796875" style="442" customWidth="1"/>
    <col min="35" max="35" width="4.54296875" style="442" customWidth="1"/>
    <col min="36" max="36" width="6.1796875" style="442" customWidth="1"/>
    <col min="37" max="37" width="12.7265625" style="188" bestFit="1" customWidth="1"/>
    <col min="38" max="38" width="12.1796875" style="442" customWidth="1"/>
    <col min="39" max="39" width="12" style="442" customWidth="1"/>
    <col min="40" max="40" width="11.7265625" style="442" customWidth="1"/>
    <col min="41" max="41" width="15.1796875" bestFit="1" customWidth="1"/>
  </cols>
  <sheetData>
    <row r="1" spans="1:255" x14ac:dyDescent="0.35">
      <c r="B1" s="739"/>
      <c r="C1" s="760"/>
      <c r="D1" s="739"/>
      <c r="E1" s="136"/>
      <c r="F1" s="403"/>
      <c r="G1" s="403"/>
      <c r="H1" s="403"/>
      <c r="I1" s="403"/>
      <c r="J1" s="403"/>
      <c r="K1" s="403"/>
      <c r="L1" s="403"/>
      <c r="M1" s="403"/>
      <c r="N1" s="403"/>
      <c r="O1" s="403"/>
      <c r="P1" s="403"/>
      <c r="Q1" s="403"/>
      <c r="R1" s="403"/>
      <c r="S1" s="403"/>
      <c r="T1" s="78"/>
      <c r="U1" s="78"/>
      <c r="V1" s="78"/>
      <c r="W1" s="404"/>
      <c r="X1" s="78"/>
      <c r="Y1" s="78"/>
      <c r="Z1" s="404"/>
      <c r="AA1" s="78"/>
      <c r="AB1" s="404"/>
      <c r="AC1" s="78"/>
      <c r="AD1" s="78"/>
      <c r="AE1" s="78"/>
      <c r="AF1" s="78"/>
      <c r="AG1" s="78"/>
      <c r="AH1" s="78"/>
      <c r="AI1" s="78"/>
      <c r="AJ1" s="78"/>
      <c r="AK1" s="740" t="s">
        <v>237</v>
      </c>
      <c r="AL1" s="740"/>
      <c r="AM1" s="740"/>
      <c r="AN1" s="740"/>
    </row>
    <row r="2" spans="1:255" x14ac:dyDescent="0.35">
      <c r="A2" s="271"/>
      <c r="B2" s="761" t="s">
        <v>232</v>
      </c>
      <c r="C2" s="762"/>
      <c r="D2" s="761"/>
      <c r="E2" s="272"/>
      <c r="F2" s="405"/>
      <c r="G2" s="405"/>
      <c r="H2" s="405"/>
      <c r="I2" s="405"/>
      <c r="J2" s="405"/>
      <c r="K2" s="405"/>
      <c r="L2" s="405"/>
      <c r="M2" s="405"/>
      <c r="N2" s="405"/>
      <c r="O2" s="405"/>
      <c r="P2" s="405"/>
      <c r="Q2" s="405"/>
      <c r="R2" s="405"/>
      <c r="S2" s="405"/>
      <c r="T2" s="273"/>
      <c r="U2" s="273"/>
      <c r="V2" s="273"/>
      <c r="W2" s="406"/>
      <c r="X2" s="273"/>
      <c r="Y2" s="273"/>
      <c r="Z2" s="406"/>
      <c r="AA2" s="273"/>
      <c r="AB2" s="406"/>
      <c r="AC2" s="273"/>
      <c r="AD2" s="273"/>
      <c r="AE2" s="273"/>
      <c r="AF2" s="763" t="s">
        <v>383</v>
      </c>
      <c r="AG2" s="763"/>
      <c r="AH2" s="763"/>
      <c r="AI2" s="763"/>
      <c r="AJ2" s="763"/>
      <c r="AK2" s="763"/>
      <c r="AL2" s="763"/>
      <c r="AM2" s="763"/>
      <c r="AN2" s="763"/>
    </row>
    <row r="3" spans="1:255" x14ac:dyDescent="0.35">
      <c r="A3" s="271"/>
      <c r="B3" s="764" t="s">
        <v>657</v>
      </c>
      <c r="C3" s="765"/>
      <c r="D3" s="764"/>
      <c r="E3" s="272"/>
      <c r="F3" s="405"/>
      <c r="G3" s="405"/>
      <c r="H3" s="405"/>
      <c r="I3" s="405"/>
      <c r="J3" s="405"/>
      <c r="K3" s="405"/>
      <c r="L3" s="405"/>
      <c r="M3" s="405"/>
      <c r="N3" s="405"/>
      <c r="O3" s="405"/>
      <c r="P3" s="405"/>
      <c r="Q3" s="405"/>
      <c r="R3" s="405"/>
      <c r="S3" s="405"/>
      <c r="T3" s="273"/>
      <c r="U3" s="273"/>
      <c r="V3" s="273"/>
      <c r="W3" s="406"/>
      <c r="X3" s="273"/>
      <c r="Y3" s="273"/>
      <c r="Z3" s="406"/>
      <c r="AA3" s="273"/>
      <c r="AB3" s="406"/>
      <c r="AC3" s="273"/>
      <c r="AD3" s="273"/>
      <c r="AE3" s="273"/>
      <c r="AF3" s="764" t="s">
        <v>384</v>
      </c>
      <c r="AG3" s="764"/>
      <c r="AH3" s="764"/>
      <c r="AI3" s="764"/>
      <c r="AJ3" s="764"/>
      <c r="AK3" s="764"/>
      <c r="AL3" s="764"/>
      <c r="AM3" s="764"/>
      <c r="AN3" s="764"/>
    </row>
    <row r="4" spans="1:255" x14ac:dyDescent="0.35">
      <c r="A4" s="271"/>
      <c r="B4" s="763"/>
      <c r="C4" s="763"/>
      <c r="D4" s="763"/>
      <c r="E4" s="272"/>
      <c r="F4" s="405"/>
      <c r="G4" s="405"/>
      <c r="H4" s="405"/>
      <c r="I4" s="405"/>
      <c r="J4" s="405"/>
      <c r="K4" s="405"/>
      <c r="L4" s="405"/>
      <c r="M4" s="405"/>
      <c r="N4" s="405"/>
      <c r="O4" s="405"/>
      <c r="P4" s="405"/>
      <c r="Q4" s="405"/>
      <c r="R4" s="405"/>
      <c r="S4" s="405"/>
      <c r="T4" s="273"/>
      <c r="U4" s="273"/>
      <c r="V4" s="273"/>
      <c r="W4" s="406"/>
      <c r="X4" s="273"/>
      <c r="Y4" s="273"/>
      <c r="Z4" s="406"/>
      <c r="AA4" s="273"/>
      <c r="AB4" s="406"/>
      <c r="AC4" s="273"/>
      <c r="AD4" s="273"/>
      <c r="AE4" s="273"/>
      <c r="AF4" s="763"/>
      <c r="AG4" s="763"/>
      <c r="AH4" s="763"/>
      <c r="AI4" s="763"/>
      <c r="AJ4" s="763"/>
      <c r="AK4" s="763"/>
      <c r="AL4" s="763"/>
      <c r="AM4" s="763"/>
      <c r="AN4" s="763"/>
    </row>
    <row r="5" spans="1:255" x14ac:dyDescent="0.35">
      <c r="A5" s="271"/>
      <c r="B5" s="764"/>
      <c r="C5" s="764"/>
      <c r="D5" s="764"/>
      <c r="E5" s="272"/>
      <c r="F5" s="405"/>
      <c r="G5" s="405"/>
      <c r="H5" s="405"/>
      <c r="I5" s="405"/>
      <c r="J5" s="405"/>
      <c r="K5" s="405"/>
      <c r="L5" s="405"/>
      <c r="M5" s="405"/>
      <c r="N5" s="405"/>
      <c r="O5" s="405"/>
      <c r="P5" s="405"/>
      <c r="Q5" s="405"/>
      <c r="R5" s="405"/>
      <c r="S5" s="405"/>
      <c r="T5" s="273"/>
      <c r="U5" s="273"/>
      <c r="V5" s="273"/>
      <c r="W5" s="406"/>
      <c r="X5" s="273"/>
      <c r="Y5" s="273"/>
      <c r="Z5" s="406"/>
      <c r="AA5" s="273"/>
      <c r="AB5" s="406"/>
      <c r="AC5" s="273"/>
      <c r="AD5" s="273"/>
      <c r="AE5" s="273"/>
      <c r="AF5" s="764"/>
      <c r="AG5" s="764"/>
      <c r="AH5" s="764"/>
      <c r="AI5" s="764"/>
      <c r="AJ5" s="764"/>
      <c r="AK5" s="764"/>
      <c r="AL5" s="764"/>
      <c r="AM5" s="764"/>
      <c r="AN5" s="764"/>
    </row>
    <row r="6" spans="1:255" x14ac:dyDescent="0.35">
      <c r="A6" s="271"/>
      <c r="B6" s="374"/>
      <c r="C6" s="374"/>
      <c r="D6" s="374"/>
      <c r="E6" s="272"/>
      <c r="F6" s="405"/>
      <c r="G6" s="405"/>
      <c r="H6" s="405"/>
      <c r="I6" s="405"/>
      <c r="J6" s="405"/>
      <c r="K6" s="405"/>
      <c r="L6" s="405"/>
      <c r="M6" s="405"/>
      <c r="N6" s="405"/>
      <c r="O6" s="405"/>
      <c r="P6" s="405"/>
      <c r="Q6" s="405"/>
      <c r="R6" s="405"/>
      <c r="S6" s="405"/>
      <c r="T6" s="273"/>
      <c r="U6" s="273"/>
      <c r="V6" s="273"/>
      <c r="W6" s="406"/>
      <c r="X6" s="273"/>
      <c r="Y6" s="273"/>
      <c r="Z6" s="406"/>
      <c r="AA6" s="273"/>
      <c r="AB6" s="406"/>
      <c r="AC6" s="273"/>
      <c r="AD6" s="273"/>
      <c r="AE6" s="273"/>
      <c r="AF6" s="374"/>
      <c r="AG6" s="374"/>
      <c r="AH6" s="374"/>
      <c r="AI6" s="374"/>
      <c r="AJ6" s="374"/>
      <c r="AK6" s="374"/>
      <c r="AL6" s="374"/>
      <c r="AM6" s="374"/>
      <c r="AN6" s="374"/>
    </row>
    <row r="7" spans="1:255" s="218" customFormat="1" ht="15.5" x14ac:dyDescent="0.35">
      <c r="A7" s="270"/>
      <c r="B7" s="693" t="s">
        <v>659</v>
      </c>
      <c r="C7" s="766"/>
      <c r="D7" s="693"/>
      <c r="E7" s="693"/>
      <c r="F7" s="693"/>
      <c r="G7" s="693"/>
      <c r="H7" s="693"/>
      <c r="I7" s="693"/>
      <c r="J7" s="693"/>
      <c r="K7" s="693"/>
      <c r="L7" s="693"/>
      <c r="M7" s="693"/>
      <c r="N7" s="693"/>
      <c r="O7" s="693"/>
      <c r="P7" s="693"/>
      <c r="Q7" s="693"/>
      <c r="R7" s="693"/>
      <c r="S7" s="693"/>
      <c r="T7" s="693"/>
      <c r="U7" s="693"/>
      <c r="V7" s="693"/>
      <c r="W7" s="766"/>
      <c r="X7" s="693"/>
      <c r="Y7" s="693"/>
      <c r="Z7" s="766"/>
      <c r="AA7" s="693"/>
      <c r="AB7" s="766"/>
      <c r="AC7" s="693"/>
      <c r="AD7" s="693"/>
      <c r="AE7" s="693"/>
      <c r="AF7" s="693"/>
      <c r="AG7" s="693"/>
      <c r="AH7" s="693"/>
      <c r="AI7" s="693"/>
      <c r="AJ7" s="693"/>
      <c r="AK7" s="693"/>
      <c r="AL7" s="693"/>
      <c r="AM7" s="693"/>
      <c r="AN7" s="693"/>
    </row>
    <row r="8" spans="1:255" s="125" customFormat="1" ht="15.5" x14ac:dyDescent="0.3">
      <c r="A8" s="116"/>
      <c r="B8" s="701" t="s">
        <v>656</v>
      </c>
      <c r="C8" s="702"/>
      <c r="D8" s="701"/>
      <c r="E8" s="701"/>
      <c r="F8" s="701"/>
      <c r="G8" s="701"/>
      <c r="H8" s="701"/>
      <c r="I8" s="701"/>
      <c r="J8" s="701"/>
      <c r="K8" s="701"/>
      <c r="L8" s="701"/>
      <c r="M8" s="701"/>
      <c r="N8" s="701"/>
      <c r="O8" s="701"/>
      <c r="P8" s="701"/>
      <c r="Q8" s="701"/>
      <c r="R8" s="701"/>
      <c r="S8" s="701"/>
      <c r="T8" s="701"/>
      <c r="U8" s="701"/>
      <c r="V8" s="701"/>
      <c r="W8" s="702"/>
      <c r="X8" s="701"/>
      <c r="Y8" s="701"/>
      <c r="Z8" s="702"/>
      <c r="AA8" s="701"/>
      <c r="AB8" s="702"/>
      <c r="AC8" s="701"/>
      <c r="AD8" s="701"/>
      <c r="AE8" s="701"/>
      <c r="AF8" s="701"/>
      <c r="AG8" s="701"/>
      <c r="AH8" s="701"/>
      <c r="AI8" s="701"/>
      <c r="AJ8" s="701"/>
      <c r="AK8" s="701"/>
      <c r="AL8" s="701"/>
      <c r="AM8" s="701"/>
      <c r="AN8" s="701"/>
    </row>
    <row r="9" spans="1:255" s="125" customFormat="1" ht="15.5" x14ac:dyDescent="0.3">
      <c r="A9" s="116"/>
      <c r="B9" s="701"/>
      <c r="C9" s="702"/>
      <c r="D9" s="701"/>
      <c r="E9" s="701"/>
      <c r="F9" s="701"/>
      <c r="G9" s="701"/>
      <c r="H9" s="701"/>
      <c r="I9" s="701"/>
      <c r="J9" s="701"/>
      <c r="K9" s="701"/>
      <c r="L9" s="701"/>
      <c r="M9" s="701"/>
      <c r="N9" s="701"/>
      <c r="O9" s="701"/>
      <c r="P9" s="701"/>
      <c r="Q9" s="701"/>
      <c r="R9" s="701"/>
      <c r="S9" s="701"/>
      <c r="T9" s="701"/>
      <c r="U9" s="701"/>
      <c r="V9" s="701"/>
      <c r="W9" s="701"/>
      <c r="X9" s="701"/>
      <c r="Y9" s="701"/>
      <c r="Z9" s="701"/>
      <c r="AA9" s="701"/>
      <c r="AB9" s="701"/>
      <c r="AC9" s="701"/>
      <c r="AD9" s="701"/>
      <c r="AE9" s="701"/>
      <c r="AF9" s="701"/>
      <c r="AG9" s="701"/>
      <c r="AH9" s="701"/>
      <c r="AI9" s="701"/>
      <c r="AJ9" s="701"/>
      <c r="AK9" s="701"/>
      <c r="AL9" s="701"/>
      <c r="AM9" s="701"/>
      <c r="AN9" s="701"/>
    </row>
    <row r="10" spans="1:255" s="125" customFormat="1" ht="15.5" hidden="1" x14ac:dyDescent="0.3">
      <c r="A10" s="116"/>
      <c r="B10" s="701" t="s">
        <v>658</v>
      </c>
      <c r="C10" s="702"/>
      <c r="D10" s="701"/>
      <c r="E10" s="701"/>
      <c r="F10" s="701"/>
      <c r="G10" s="701"/>
      <c r="H10" s="701"/>
      <c r="I10" s="701"/>
      <c r="J10" s="701"/>
      <c r="K10" s="701"/>
      <c r="L10" s="701"/>
      <c r="M10" s="701"/>
      <c r="N10" s="701"/>
      <c r="O10" s="701"/>
      <c r="P10" s="701"/>
      <c r="Q10" s="701"/>
      <c r="R10" s="701"/>
      <c r="S10" s="701"/>
      <c r="T10" s="701"/>
      <c r="U10" s="701"/>
      <c r="V10" s="701"/>
      <c r="W10" s="701"/>
      <c r="X10" s="701"/>
      <c r="Y10" s="701"/>
      <c r="Z10" s="701"/>
      <c r="AA10" s="701"/>
      <c r="AB10" s="701"/>
      <c r="AC10" s="701"/>
      <c r="AD10" s="701"/>
      <c r="AE10" s="701"/>
      <c r="AF10" s="701"/>
      <c r="AG10" s="701"/>
      <c r="AH10" s="701"/>
      <c r="AI10" s="701"/>
      <c r="AJ10" s="701"/>
      <c r="AK10" s="701"/>
      <c r="AL10" s="701"/>
      <c r="AM10" s="701"/>
      <c r="AN10" s="701"/>
    </row>
    <row r="11" spans="1:255" s="125" customFormat="1" ht="3.75" customHeight="1" x14ac:dyDescent="0.3">
      <c r="A11" s="116"/>
      <c r="B11" s="701"/>
      <c r="C11" s="702"/>
      <c r="D11" s="701"/>
      <c r="E11" s="701"/>
      <c r="F11" s="701"/>
      <c r="G11" s="701"/>
      <c r="H11" s="701"/>
      <c r="I11" s="701"/>
      <c r="J11" s="701"/>
      <c r="K11" s="701"/>
      <c r="L11" s="701"/>
      <c r="M11" s="701"/>
      <c r="N11" s="701"/>
      <c r="O11" s="701"/>
      <c r="P11" s="701"/>
      <c r="Q11" s="701"/>
      <c r="R11" s="701"/>
      <c r="S11" s="701"/>
      <c r="T11" s="701"/>
      <c r="U11" s="701"/>
      <c r="V11" s="701"/>
      <c r="W11" s="701"/>
      <c r="X11" s="701"/>
      <c r="Y11" s="701"/>
      <c r="Z11" s="701"/>
      <c r="AA11" s="701"/>
      <c r="AB11" s="701"/>
      <c r="AC11" s="701"/>
      <c r="AD11" s="701"/>
      <c r="AE11" s="701"/>
      <c r="AF11" s="701"/>
      <c r="AG11" s="701"/>
      <c r="AH11" s="701"/>
      <c r="AI11" s="701"/>
      <c r="AJ11" s="701"/>
      <c r="AK11" s="701"/>
      <c r="AL11" s="701"/>
      <c r="AM11" s="701"/>
      <c r="AN11" s="701"/>
    </row>
    <row r="12" spans="1:255" s="125" customFormat="1" ht="4.5" customHeight="1" thickBot="1" x14ac:dyDescent="0.35">
      <c r="A12" s="116"/>
      <c r="B12" s="767"/>
      <c r="C12" s="768"/>
      <c r="D12" s="767"/>
      <c r="E12" s="767"/>
      <c r="F12" s="767"/>
      <c r="G12" s="767"/>
      <c r="H12" s="767"/>
      <c r="I12" s="767"/>
      <c r="J12" s="767"/>
      <c r="K12" s="767"/>
      <c r="L12" s="767"/>
      <c r="M12" s="767"/>
      <c r="N12" s="767"/>
      <c r="O12" s="767"/>
      <c r="P12" s="767"/>
      <c r="Q12" s="767"/>
      <c r="R12" s="767"/>
      <c r="S12" s="767"/>
      <c r="T12" s="767"/>
      <c r="U12" s="767"/>
      <c r="V12" s="767"/>
      <c r="W12" s="768"/>
      <c r="X12" s="767"/>
      <c r="Y12" s="767"/>
      <c r="Z12" s="768"/>
      <c r="AA12" s="767"/>
      <c r="AB12" s="768"/>
      <c r="AC12" s="767"/>
      <c r="AD12" s="767"/>
      <c r="AE12" s="767"/>
      <c r="AF12" s="767"/>
      <c r="AG12" s="767"/>
      <c r="AH12" s="767"/>
      <c r="AI12" s="767"/>
      <c r="AJ12" s="767"/>
      <c r="AK12" s="767"/>
      <c r="AL12" s="767"/>
      <c r="AM12" s="767"/>
      <c r="AN12" s="767"/>
    </row>
    <row r="13" spans="1:255" s="408" customFormat="1" ht="51" customHeight="1" x14ac:dyDescent="0.35">
      <c r="A13" s="116"/>
      <c r="B13" s="769" t="s">
        <v>3</v>
      </c>
      <c r="C13" s="771" t="s">
        <v>4</v>
      </c>
      <c r="D13" s="773" t="s">
        <v>5</v>
      </c>
      <c r="E13" s="771" t="s">
        <v>189</v>
      </c>
      <c r="F13" s="775" t="s">
        <v>6</v>
      </c>
      <c r="G13" s="773" t="s">
        <v>7</v>
      </c>
      <c r="H13" s="777" t="s">
        <v>8</v>
      </c>
      <c r="I13" s="778"/>
      <c r="J13" s="777" t="s">
        <v>179</v>
      </c>
      <c r="K13" s="778"/>
      <c r="L13" s="777" t="s">
        <v>176</v>
      </c>
      <c r="M13" s="778"/>
      <c r="N13" s="777" t="s">
        <v>177</v>
      </c>
      <c r="O13" s="778"/>
      <c r="P13" s="777" t="s">
        <v>178</v>
      </c>
      <c r="Q13" s="778"/>
      <c r="R13" s="777" t="s">
        <v>13</v>
      </c>
      <c r="S13" s="778"/>
      <c r="T13" s="781" t="s">
        <v>83</v>
      </c>
      <c r="U13" s="782"/>
      <c r="V13" s="782"/>
      <c r="W13" s="782"/>
      <c r="X13" s="782"/>
      <c r="Y13" s="782"/>
      <c r="Z13" s="782"/>
      <c r="AA13" s="782"/>
      <c r="AB13" s="782"/>
      <c r="AC13" s="783"/>
      <c r="AD13" s="773" t="s">
        <v>97</v>
      </c>
      <c r="AE13" s="777" t="s">
        <v>14</v>
      </c>
      <c r="AF13" s="778"/>
      <c r="AG13" s="773" t="s">
        <v>15</v>
      </c>
      <c r="AH13" s="773" t="s">
        <v>16</v>
      </c>
      <c r="AI13" s="779" t="s">
        <v>149</v>
      </c>
      <c r="AJ13" s="779" t="s">
        <v>93</v>
      </c>
      <c r="AK13" s="781" t="s">
        <v>95</v>
      </c>
      <c r="AL13" s="782"/>
      <c r="AM13" s="782"/>
      <c r="AN13" s="783"/>
      <c r="AO13" s="407"/>
    </row>
    <row r="14" spans="1:255" s="408" customFormat="1" ht="69.75" customHeight="1" x14ac:dyDescent="0.35">
      <c r="A14" s="116"/>
      <c r="B14" s="770"/>
      <c r="C14" s="772"/>
      <c r="D14" s="774"/>
      <c r="E14" s="772"/>
      <c r="F14" s="776"/>
      <c r="G14" s="774"/>
      <c r="H14" s="409" t="s">
        <v>18</v>
      </c>
      <c r="I14" s="410" t="s">
        <v>19</v>
      </c>
      <c r="J14" s="410" t="s">
        <v>20</v>
      </c>
      <c r="K14" s="410" t="s">
        <v>19</v>
      </c>
      <c r="L14" s="409" t="s">
        <v>21</v>
      </c>
      <c r="M14" s="410" t="s">
        <v>19</v>
      </c>
      <c r="N14" s="409" t="s">
        <v>21</v>
      </c>
      <c r="O14" s="410" t="s">
        <v>19</v>
      </c>
      <c r="P14" s="410" t="s">
        <v>20</v>
      </c>
      <c r="Q14" s="410" t="s">
        <v>19</v>
      </c>
      <c r="R14" s="410" t="s">
        <v>20</v>
      </c>
      <c r="S14" s="410" t="s">
        <v>19</v>
      </c>
      <c r="T14" s="411" t="s">
        <v>84</v>
      </c>
      <c r="U14" s="411" t="s">
        <v>85</v>
      </c>
      <c r="V14" s="412" t="s">
        <v>86</v>
      </c>
      <c r="W14" s="412" t="s">
        <v>20</v>
      </c>
      <c r="X14" s="412" t="s">
        <v>87</v>
      </c>
      <c r="Y14" s="412" t="s">
        <v>91</v>
      </c>
      <c r="Z14" s="412" t="s">
        <v>92</v>
      </c>
      <c r="AA14" s="412" t="s">
        <v>90</v>
      </c>
      <c r="AB14" s="411" t="s">
        <v>88</v>
      </c>
      <c r="AC14" s="411" t="s">
        <v>89</v>
      </c>
      <c r="AD14" s="774"/>
      <c r="AE14" s="410" t="s">
        <v>22</v>
      </c>
      <c r="AF14" s="413" t="s">
        <v>23</v>
      </c>
      <c r="AG14" s="774"/>
      <c r="AH14" s="774"/>
      <c r="AI14" s="780"/>
      <c r="AJ14" s="780"/>
      <c r="AK14" s="414" t="s">
        <v>24</v>
      </c>
      <c r="AL14" s="415" t="s">
        <v>25</v>
      </c>
      <c r="AM14" s="415" t="s">
        <v>26</v>
      </c>
      <c r="AN14" s="415" t="s">
        <v>27</v>
      </c>
      <c r="AO14" s="407"/>
    </row>
    <row r="15" spans="1:255" s="419" customFormat="1" x14ac:dyDescent="0.35">
      <c r="A15" s="416"/>
      <c r="B15" s="417"/>
      <c r="C15" s="418" t="s">
        <v>28</v>
      </c>
      <c r="D15" s="244">
        <v>1</v>
      </c>
      <c r="E15" s="244"/>
      <c r="F15" s="244">
        <v>2</v>
      </c>
      <c r="G15" s="244">
        <v>3</v>
      </c>
      <c r="H15" s="244">
        <v>4</v>
      </c>
      <c r="I15" s="244">
        <v>5</v>
      </c>
      <c r="J15" s="244">
        <v>6</v>
      </c>
      <c r="K15" s="244">
        <v>7</v>
      </c>
      <c r="L15" s="244">
        <v>8</v>
      </c>
      <c r="M15" s="244">
        <v>9</v>
      </c>
      <c r="N15" s="244">
        <v>10</v>
      </c>
      <c r="O15" s="244">
        <v>11</v>
      </c>
      <c r="P15" s="244">
        <v>12</v>
      </c>
      <c r="Q15" s="244">
        <v>13</v>
      </c>
      <c r="R15" s="244">
        <v>14</v>
      </c>
      <c r="S15" s="244">
        <v>15</v>
      </c>
      <c r="T15" s="244"/>
      <c r="U15" s="244"/>
      <c r="V15" s="244"/>
      <c r="W15" s="418"/>
      <c r="X15" s="244"/>
      <c r="Y15" s="244"/>
      <c r="Z15" s="418"/>
      <c r="AA15" s="244"/>
      <c r="AB15" s="418"/>
      <c r="AC15" s="244"/>
      <c r="AD15" s="244">
        <v>16</v>
      </c>
      <c r="AE15" s="244">
        <v>17</v>
      </c>
      <c r="AF15" s="244">
        <v>18</v>
      </c>
      <c r="AG15" s="244">
        <v>19</v>
      </c>
      <c r="AH15" s="244">
        <v>20</v>
      </c>
      <c r="AI15" s="244"/>
      <c r="AJ15" s="244"/>
      <c r="AK15" s="244">
        <v>21</v>
      </c>
      <c r="AL15" s="244">
        <v>22</v>
      </c>
      <c r="AM15" s="244">
        <v>23</v>
      </c>
      <c r="AN15" s="244">
        <v>24</v>
      </c>
    </row>
    <row r="16" spans="1:255" s="428" customFormat="1" ht="82.5" customHeight="1" x14ac:dyDescent="0.35">
      <c r="A16" s="116"/>
      <c r="B16" s="137">
        <v>14</v>
      </c>
      <c r="C16" s="280"/>
      <c r="D16" s="139">
        <v>25143</v>
      </c>
      <c r="E16" s="98">
        <f>DATE(YEAR(D16),MONTH(D16)+1,1)</f>
        <v>25173</v>
      </c>
      <c r="F16" s="423"/>
      <c r="G16" s="214"/>
      <c r="H16" s="155" t="s">
        <v>669</v>
      </c>
      <c r="I16" s="139">
        <v>44562</v>
      </c>
      <c r="J16" s="140" t="s">
        <v>671</v>
      </c>
      <c r="K16" s="468" t="s">
        <v>672</v>
      </c>
      <c r="L16" s="161"/>
      <c r="M16" s="139"/>
      <c r="N16" s="161" t="s">
        <v>394</v>
      </c>
      <c r="O16" s="139" t="s">
        <v>667</v>
      </c>
      <c r="P16" s="140"/>
      <c r="Q16" s="140"/>
      <c r="R16" s="155"/>
      <c r="S16" s="139"/>
      <c r="T16" s="139">
        <f>EDATE(AG16,-60)</f>
        <v>42917</v>
      </c>
      <c r="U16" s="81">
        <v>43281</v>
      </c>
      <c r="V16" s="82">
        <f t="shared" ref="V16:V22" si="0">ROUND(DAYS360(T16,U16,0)/30,0)</f>
        <v>12</v>
      </c>
      <c r="W16" s="424">
        <v>4.9800000000000004</v>
      </c>
      <c r="X16" s="99">
        <v>0.3</v>
      </c>
      <c r="Y16" s="425">
        <v>0.08</v>
      </c>
      <c r="Z16" s="426"/>
      <c r="AA16" s="83">
        <f t="shared" ref="AA16:AA22" si="1">W16+X16+Y16*W16+(W16+X16+Y16*W16)*Z16</f>
        <v>5.6783999999999999</v>
      </c>
      <c r="AB16" s="427">
        <v>1300000</v>
      </c>
      <c r="AC16" s="84">
        <f t="shared" ref="AC16:AC22" si="2">V16*AA16*AB16</f>
        <v>88583040</v>
      </c>
      <c r="AD16" s="228">
        <f>AC23/V23</f>
        <v>8494015.0447761193</v>
      </c>
      <c r="AE16" s="140" t="s">
        <v>673</v>
      </c>
      <c r="AF16" s="140"/>
      <c r="AG16" s="139">
        <v>44743</v>
      </c>
      <c r="AH16" s="140" t="str">
        <f>DATEDIF(E16,AG16,"y")&amp;"t"&amp;DATEDIF(E16,AG16,"ym")&amp;"th"</f>
        <v>53t7th</v>
      </c>
      <c r="AI16" s="98" t="s">
        <v>664</v>
      </c>
      <c r="AJ16" s="113" t="str">
        <f>QUOTIENT((VALUE(LEFT(AI16,2))*12+VALUE(MID(AI16,4,LEN(AI16)-5))-(VALUE(LEFT(AH16,2))*12+VALUE(MID(AH16,4,LEN(AH16)-5)))),12)&amp;"n"&amp;MOD(VALUE(LEFT(AI16,2))*12+VALUE(MID(AI16,4,LEN(AI16)-5))-(VALUE(LEFT(AH16,2))*12+VALUE(MID(AH16,4,LEN(AH16)-5))),12)&amp;"t"</f>
        <v>1n11t</v>
      </c>
      <c r="AK16" s="391">
        <f>SUM(AL16:AN16)</f>
        <v>161386285</v>
      </c>
      <c r="AL16" s="163">
        <f>ROUND(IF(LEN(AJ16)&lt;3,VALUE(LEFT(AJ16,1))*3*AD16,(VALUE(LEFT(AJ16,1))*3+IF(VALUE(MID(AJ16,3,LEN(AJ16)-3))&gt;6,2,IF(VALUE(MID(AJ16,3,LEN(AJ16)-3))&gt;0,1,0)))*AD16),0)</f>
        <v>42470075</v>
      </c>
      <c r="AM16" s="163">
        <f>ROUND(5*AD16,0)</f>
        <v>42470075</v>
      </c>
      <c r="AN16" s="164">
        <f>ROUND(((VALUE(LEFT(AE16,2)-20))+IF(LEN(AE16)&lt;4,0,IF(VALUE(MID(AE16,4,LEN(AE16)-4))&gt;6,1,IF(VALUE(MID(AE16,4,LEN(AE16)-4))&gt;2,0.5,0))))*AD16*1/2,0)</f>
        <v>76446135</v>
      </c>
      <c r="AO16"/>
      <c r="AP16"/>
      <c r="AQ16"/>
      <c r="AR16"/>
      <c r="AS16"/>
      <c r="AT16"/>
      <c r="AU16"/>
      <c r="AV16"/>
      <c r="AW16"/>
      <c r="AX16"/>
      <c r="AY16"/>
      <c r="AZ16"/>
      <c r="BA16"/>
      <c r="BB16"/>
      <c r="BC16"/>
      <c r="BD16"/>
      <c r="BE16"/>
      <c r="BF16"/>
      <c r="BG16"/>
      <c r="BH16"/>
      <c r="BI16"/>
      <c r="BJ16"/>
      <c r="BK16"/>
      <c r="BL16"/>
      <c r="BM16"/>
      <c r="BN16"/>
      <c r="BO16"/>
      <c r="BP16"/>
      <c r="BQ16"/>
      <c r="BR16"/>
      <c r="BS16"/>
      <c r="BT16"/>
      <c r="BU16"/>
      <c r="BV16"/>
      <c r="BW16"/>
      <c r="BX16"/>
      <c r="BY16"/>
      <c r="BZ16"/>
      <c r="CA16"/>
      <c r="CB16"/>
      <c r="CC16"/>
      <c r="CD16"/>
      <c r="CE16"/>
      <c r="CF16"/>
      <c r="CG16"/>
      <c r="CH16"/>
      <c r="CI16"/>
      <c r="CJ16"/>
      <c r="CK16"/>
      <c r="CL16"/>
      <c r="CM16"/>
      <c r="CN16"/>
      <c r="CO16"/>
      <c r="CP16"/>
      <c r="CQ16"/>
      <c r="CR16"/>
      <c r="CS16"/>
      <c r="CT16"/>
      <c r="CU16"/>
      <c r="CV16"/>
      <c r="CW16"/>
      <c r="CX16"/>
      <c r="CY16"/>
      <c r="CZ16"/>
      <c r="DA16"/>
      <c r="DB16"/>
      <c r="DC16"/>
      <c r="DD16"/>
      <c r="DE16"/>
      <c r="DF16"/>
      <c r="DG16"/>
      <c r="DH16"/>
      <c r="DI16"/>
      <c r="DJ16"/>
      <c r="DK16"/>
      <c r="DL16"/>
      <c r="DM16"/>
      <c r="DN16"/>
      <c r="DO16"/>
      <c r="DP16"/>
      <c r="DQ16"/>
      <c r="DR16"/>
      <c r="DS16"/>
      <c r="DT16"/>
      <c r="DU16"/>
      <c r="DV16"/>
      <c r="DW16"/>
      <c r="DX16"/>
      <c r="DY16"/>
      <c r="DZ16"/>
      <c r="EA16"/>
      <c r="EB16"/>
      <c r="EC16"/>
      <c r="ED16"/>
      <c r="EE16"/>
      <c r="EF16"/>
      <c r="EG16"/>
      <c r="EH16"/>
      <c r="EI16"/>
      <c r="EJ16"/>
      <c r="EK16"/>
      <c r="EL16"/>
      <c r="EM16"/>
      <c r="EN16"/>
      <c r="EO16"/>
      <c r="EP16"/>
      <c r="EQ16"/>
      <c r="ER16"/>
      <c r="ES16"/>
      <c r="ET16"/>
      <c r="EU16"/>
      <c r="EV16"/>
      <c r="EW16"/>
      <c r="EX16"/>
      <c r="EY16"/>
      <c r="EZ16"/>
      <c r="FA16"/>
      <c r="FB16"/>
      <c r="FC16"/>
      <c r="FD16"/>
      <c r="FE16"/>
      <c r="FF16"/>
      <c r="FG16"/>
      <c r="FH16"/>
      <c r="FI16"/>
      <c r="FJ16"/>
      <c r="FK16"/>
      <c r="FL16"/>
      <c r="FM16"/>
      <c r="FN16"/>
      <c r="FO16"/>
      <c r="FP16"/>
      <c r="FQ16"/>
      <c r="FR16"/>
      <c r="FS16"/>
      <c r="FT16"/>
      <c r="FU16"/>
      <c r="FV16"/>
      <c r="FW16"/>
      <c r="FX16"/>
      <c r="FY16"/>
      <c r="FZ16"/>
      <c r="GA16"/>
      <c r="GB16"/>
      <c r="GC16"/>
      <c r="GD16"/>
      <c r="GE16"/>
      <c r="GF16"/>
      <c r="GG16"/>
      <c r="GH16"/>
      <c r="GI16"/>
      <c r="GJ16"/>
      <c r="GK16"/>
      <c r="GL16"/>
      <c r="GM16"/>
      <c r="GN16"/>
      <c r="GO16"/>
      <c r="GP16"/>
      <c r="GQ16"/>
      <c r="GR16"/>
      <c r="GS16"/>
      <c r="GT16"/>
      <c r="GU16"/>
      <c r="GV16"/>
      <c r="GW16"/>
      <c r="GX16"/>
      <c r="GY16"/>
      <c r="GZ16"/>
      <c r="HA16"/>
      <c r="HB16"/>
      <c r="HC16"/>
      <c r="HD16"/>
      <c r="HE16"/>
      <c r="HF16"/>
      <c r="HG16"/>
      <c r="HH16"/>
      <c r="HI16"/>
      <c r="HJ16"/>
      <c r="HK16"/>
      <c r="HL16"/>
      <c r="HM16"/>
      <c r="HN16"/>
      <c r="HO16"/>
      <c r="HP16"/>
      <c r="HQ16"/>
      <c r="HR16"/>
      <c r="HS16"/>
      <c r="HT16"/>
      <c r="HU16"/>
      <c r="HV16"/>
      <c r="HW16"/>
      <c r="HX16"/>
      <c r="HY16"/>
      <c r="HZ16"/>
      <c r="IA16"/>
      <c r="IB16"/>
      <c r="IC16"/>
      <c r="ID16"/>
      <c r="IE16"/>
      <c r="IF16"/>
      <c r="IG16"/>
      <c r="IH16"/>
      <c r="II16"/>
      <c r="IJ16"/>
      <c r="IK16"/>
      <c r="IL16"/>
      <c r="IM16"/>
      <c r="IN16"/>
      <c r="IO16"/>
      <c r="IP16"/>
      <c r="IQ16"/>
      <c r="IR16"/>
      <c r="IS16"/>
      <c r="IT16"/>
      <c r="IU16"/>
    </row>
    <row r="17" spans="1:255" s="428" customFormat="1" x14ac:dyDescent="0.35">
      <c r="A17" s="116"/>
      <c r="B17" s="96"/>
      <c r="C17" s="445"/>
      <c r="D17" s="98"/>
      <c r="E17" s="98"/>
      <c r="F17" s="446"/>
      <c r="G17" s="213"/>
      <c r="H17" s="100"/>
      <c r="I17" s="98"/>
      <c r="J17" s="99"/>
      <c r="K17" s="98"/>
      <c r="L17" s="141"/>
      <c r="M17" s="98"/>
      <c r="N17" s="141"/>
      <c r="O17" s="98"/>
      <c r="P17" s="99"/>
      <c r="Q17" s="99"/>
      <c r="R17" s="100"/>
      <c r="S17" s="98"/>
      <c r="T17" s="139">
        <v>43282</v>
      </c>
      <c r="U17" s="81">
        <v>43464</v>
      </c>
      <c r="V17" s="82">
        <f t="shared" si="0"/>
        <v>6</v>
      </c>
      <c r="W17" s="424">
        <v>4.9800000000000004</v>
      </c>
      <c r="X17" s="99">
        <v>0.3</v>
      </c>
      <c r="Y17" s="425">
        <v>0.08</v>
      </c>
      <c r="Z17" s="426"/>
      <c r="AA17" s="83">
        <f t="shared" si="1"/>
        <v>5.6783999999999999</v>
      </c>
      <c r="AB17" s="427">
        <v>1390000</v>
      </c>
      <c r="AC17" s="84">
        <f t="shared" si="2"/>
        <v>47357856</v>
      </c>
      <c r="AD17" s="226"/>
      <c r="AE17" s="99"/>
      <c r="AF17" s="99"/>
      <c r="AG17" s="98"/>
      <c r="AH17" s="99"/>
      <c r="AI17" s="98"/>
      <c r="AJ17" s="113"/>
      <c r="AK17" s="447"/>
      <c r="AL17" s="103"/>
      <c r="AM17" s="103"/>
      <c r="AN17" s="102"/>
      <c r="AO17"/>
      <c r="AP17"/>
      <c r="AQ17"/>
      <c r="AR17"/>
      <c r="AS17"/>
      <c r="AT17"/>
      <c r="AU17"/>
      <c r="AV17"/>
      <c r="AW17"/>
      <c r="AX17"/>
      <c r="AY17"/>
      <c r="AZ17"/>
      <c r="BA17"/>
      <c r="BB17"/>
      <c r="BC17"/>
      <c r="BD17"/>
      <c r="BE17"/>
      <c r="BF17"/>
      <c r="BG17"/>
      <c r="BH17"/>
      <c r="BI17"/>
      <c r="BJ17"/>
      <c r="BK17"/>
      <c r="BL17"/>
      <c r="BM17"/>
      <c r="BN17"/>
      <c r="BO17"/>
      <c r="BP17"/>
      <c r="BQ17"/>
      <c r="BR17"/>
      <c r="BS17"/>
      <c r="BT17"/>
      <c r="BU17"/>
      <c r="BV17"/>
      <c r="BW17"/>
      <c r="BX17"/>
      <c r="BY17"/>
      <c r="BZ17"/>
      <c r="CA17"/>
      <c r="CB17"/>
      <c r="CC17"/>
      <c r="CD17"/>
      <c r="CE17"/>
      <c r="CF17"/>
      <c r="CG17"/>
      <c r="CH17"/>
      <c r="CI17"/>
      <c r="CJ17"/>
      <c r="CK17"/>
      <c r="CL17"/>
      <c r="CM17"/>
      <c r="CN17"/>
      <c r="CO17"/>
      <c r="CP17"/>
      <c r="CQ17"/>
      <c r="CR17"/>
      <c r="CS17"/>
      <c r="CT17"/>
      <c r="CU17"/>
      <c r="CV17"/>
      <c r="CW17"/>
      <c r="CX17"/>
      <c r="CY17"/>
      <c r="CZ17"/>
      <c r="DA17"/>
      <c r="DB17"/>
      <c r="DC17"/>
      <c r="DD17"/>
      <c r="DE17"/>
      <c r="DF17"/>
      <c r="DG17"/>
      <c r="DH17"/>
      <c r="DI17"/>
      <c r="DJ17"/>
      <c r="DK17"/>
      <c r="DL17"/>
      <c r="DM17"/>
      <c r="DN17"/>
      <c r="DO17"/>
      <c r="DP17"/>
      <c r="DQ17"/>
      <c r="DR17"/>
      <c r="DS17"/>
      <c r="DT17"/>
      <c r="DU17"/>
      <c r="DV17"/>
      <c r="DW17"/>
      <c r="DX17"/>
      <c r="DY17"/>
      <c r="DZ17"/>
      <c r="EA17"/>
      <c r="EB17"/>
      <c r="EC17"/>
      <c r="ED17"/>
      <c r="EE17"/>
      <c r="EF17"/>
      <c r="EG17"/>
      <c r="EH17"/>
      <c r="EI17"/>
      <c r="EJ17"/>
      <c r="EK17"/>
      <c r="EL17"/>
      <c r="EM17"/>
      <c r="EN17"/>
      <c r="EO17"/>
      <c r="EP17"/>
      <c r="EQ17"/>
      <c r="ER17"/>
      <c r="ES17"/>
      <c r="ET17"/>
      <c r="EU17"/>
      <c r="EV17"/>
      <c r="EW17"/>
      <c r="EX17"/>
      <c r="EY17"/>
      <c r="EZ17"/>
      <c r="FA17"/>
      <c r="FB17"/>
      <c r="FC17"/>
      <c r="FD17"/>
      <c r="FE17"/>
      <c r="FF17"/>
      <c r="FG17"/>
      <c r="FH17"/>
      <c r="FI17"/>
      <c r="FJ17"/>
      <c r="FK17"/>
      <c r="FL17"/>
      <c r="FM17"/>
      <c r="FN17"/>
      <c r="FO17"/>
      <c r="FP17"/>
      <c r="FQ17"/>
      <c r="FR17"/>
      <c r="FS17"/>
      <c r="FT17"/>
      <c r="FU17"/>
      <c r="FV17"/>
      <c r="FW17"/>
      <c r="FX17"/>
      <c r="FY17"/>
      <c r="FZ17"/>
      <c r="GA17"/>
      <c r="GB17"/>
      <c r="GC17"/>
      <c r="GD17"/>
      <c r="GE17"/>
      <c r="GF17"/>
      <c r="GG17"/>
      <c r="GH17"/>
      <c r="GI17"/>
      <c r="GJ17"/>
      <c r="GK17"/>
      <c r="GL17"/>
      <c r="GM17"/>
      <c r="GN17"/>
      <c r="GO17"/>
      <c r="GP17"/>
      <c r="GQ17"/>
      <c r="GR17"/>
      <c r="GS17"/>
      <c r="GT17"/>
      <c r="GU17"/>
      <c r="GV17"/>
      <c r="GW17"/>
      <c r="GX17"/>
      <c r="GY17"/>
      <c r="GZ17"/>
      <c r="HA17"/>
      <c r="HB17"/>
      <c r="HC17"/>
      <c r="HD17"/>
      <c r="HE17"/>
      <c r="HF17"/>
      <c r="HG17"/>
      <c r="HH17"/>
      <c r="HI17"/>
      <c r="HJ17"/>
      <c r="HK17"/>
      <c r="HL17"/>
      <c r="HM17"/>
      <c r="HN17"/>
      <c r="HO17"/>
      <c r="HP17"/>
      <c r="HQ17"/>
      <c r="HR17"/>
      <c r="HS17"/>
      <c r="HT17"/>
      <c r="HU17"/>
      <c r="HV17"/>
      <c r="HW17"/>
      <c r="HX17"/>
      <c r="HY17"/>
      <c r="HZ17"/>
      <c r="IA17"/>
      <c r="IB17"/>
      <c r="IC17"/>
      <c r="ID17"/>
      <c r="IE17"/>
      <c r="IF17"/>
      <c r="IG17"/>
      <c r="IH17"/>
      <c r="II17"/>
      <c r="IJ17"/>
      <c r="IK17"/>
      <c r="IL17"/>
      <c r="IM17"/>
      <c r="IN17"/>
      <c r="IO17"/>
      <c r="IP17"/>
      <c r="IQ17"/>
      <c r="IR17"/>
      <c r="IS17"/>
      <c r="IT17"/>
      <c r="IU17"/>
    </row>
    <row r="18" spans="1:255" s="428" customFormat="1" x14ac:dyDescent="0.35">
      <c r="A18" s="116"/>
      <c r="B18" s="96"/>
      <c r="C18" s="445"/>
      <c r="D18" s="98"/>
      <c r="E18" s="98"/>
      <c r="F18" s="446"/>
      <c r="G18" s="213"/>
      <c r="H18" s="100"/>
      <c r="I18" s="98"/>
      <c r="J18" s="99"/>
      <c r="K18" s="98"/>
      <c r="L18" s="141"/>
      <c r="M18" s="98"/>
      <c r="N18" s="141"/>
      <c r="O18" s="98"/>
      <c r="P18" s="99"/>
      <c r="Q18" s="99"/>
      <c r="R18" s="100"/>
      <c r="S18" s="98"/>
      <c r="T18" s="139">
        <v>43466</v>
      </c>
      <c r="U18" s="81">
        <v>43646</v>
      </c>
      <c r="V18" s="82">
        <f t="shared" si="0"/>
        <v>6</v>
      </c>
      <c r="W18" s="424">
        <v>4.9800000000000004</v>
      </c>
      <c r="X18" s="99">
        <v>0.3</v>
      </c>
      <c r="Y18" s="425">
        <v>0.09</v>
      </c>
      <c r="Z18" s="426"/>
      <c r="AA18" s="83">
        <f t="shared" si="1"/>
        <v>5.7282000000000002</v>
      </c>
      <c r="AB18" s="427">
        <v>1390000</v>
      </c>
      <c r="AC18" s="84">
        <f t="shared" si="2"/>
        <v>47773188</v>
      </c>
      <c r="AD18" s="226"/>
      <c r="AE18" s="99"/>
      <c r="AF18" s="99"/>
      <c r="AG18" s="98"/>
      <c r="AH18" s="99"/>
      <c r="AI18" s="98"/>
      <c r="AJ18" s="113"/>
      <c r="AK18" s="447"/>
      <c r="AL18" s="103"/>
      <c r="AM18" s="103"/>
      <c r="AN18" s="102"/>
      <c r="AO18"/>
      <c r="AP18"/>
      <c r="AQ18"/>
      <c r="AR18"/>
      <c r="AS18"/>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c r="CH18"/>
      <c r="CI18"/>
      <c r="CJ18"/>
      <c r="CK18"/>
      <c r="CL18"/>
      <c r="CM18"/>
      <c r="CN18"/>
      <c r="CO18"/>
      <c r="CP18"/>
      <c r="CQ18"/>
      <c r="CR18"/>
      <c r="CS18"/>
      <c r="CT18"/>
      <c r="CU18"/>
      <c r="CV18"/>
      <c r="CW18"/>
      <c r="CX18"/>
      <c r="CY18"/>
      <c r="CZ18"/>
      <c r="DA18"/>
      <c r="DB18"/>
      <c r="DC18"/>
      <c r="DD18"/>
      <c r="DE18"/>
      <c r="DF18"/>
      <c r="DG18"/>
      <c r="DH18"/>
      <c r="DI18"/>
      <c r="DJ18"/>
      <c r="DK18"/>
      <c r="DL18"/>
      <c r="DM18"/>
      <c r="DN18"/>
      <c r="DO18"/>
      <c r="DP18"/>
      <c r="DQ18"/>
      <c r="DR18"/>
      <c r="DS18"/>
      <c r="DT18"/>
      <c r="DU18"/>
      <c r="DV18"/>
      <c r="DW18"/>
      <c r="DX18"/>
      <c r="DY18"/>
      <c r="DZ18"/>
      <c r="EA18"/>
      <c r="EB18"/>
      <c r="EC18"/>
      <c r="ED18"/>
      <c r="EE18"/>
      <c r="EF18"/>
      <c r="EG18"/>
      <c r="EH18"/>
      <c r="EI18"/>
      <c r="EJ18"/>
      <c r="EK18"/>
      <c r="EL18"/>
      <c r="EM18"/>
      <c r="EN18"/>
      <c r="EO18"/>
      <c r="EP18"/>
      <c r="EQ18"/>
      <c r="ER18"/>
      <c r="ES18"/>
      <c r="ET18"/>
      <c r="EU18"/>
      <c r="EV18"/>
      <c r="EW18"/>
      <c r="EX18"/>
      <c r="EY18"/>
      <c r="EZ18"/>
      <c r="FA18"/>
      <c r="FB18"/>
      <c r="FC18"/>
      <c r="FD18"/>
      <c r="FE18"/>
      <c r="FF18"/>
      <c r="FG18"/>
      <c r="FH18"/>
      <c r="FI18"/>
      <c r="FJ18"/>
      <c r="FK18"/>
      <c r="FL18"/>
      <c r="FM18"/>
      <c r="FN18"/>
      <c r="FO18"/>
      <c r="FP18"/>
      <c r="FQ18"/>
      <c r="FR18"/>
      <c r="FS18"/>
      <c r="FT18"/>
      <c r="FU18"/>
      <c r="FV18"/>
      <c r="FW18"/>
      <c r="FX18"/>
      <c r="FY18"/>
      <c r="FZ18"/>
      <c r="GA18"/>
      <c r="GB18"/>
      <c r="GC18"/>
      <c r="GD18"/>
      <c r="GE18"/>
      <c r="GF18"/>
      <c r="GG18"/>
      <c r="GH18"/>
      <c r="GI18"/>
      <c r="GJ18"/>
      <c r="GK18"/>
      <c r="GL18"/>
      <c r="GM18"/>
      <c r="GN18"/>
      <c r="GO18"/>
      <c r="GP18"/>
      <c r="GQ18"/>
      <c r="GR18"/>
      <c r="GS18"/>
      <c r="GT18"/>
      <c r="GU18"/>
      <c r="GV18"/>
      <c r="GW18"/>
      <c r="GX18"/>
      <c r="GY18"/>
      <c r="GZ18"/>
      <c r="HA18"/>
      <c r="HB18"/>
      <c r="HC18"/>
      <c r="HD18"/>
      <c r="HE18"/>
      <c r="HF18"/>
      <c r="HG18"/>
      <c r="HH18"/>
      <c r="HI18"/>
      <c r="HJ18"/>
      <c r="HK18"/>
      <c r="HL18"/>
      <c r="HM18"/>
      <c r="HN18"/>
      <c r="HO18"/>
      <c r="HP18"/>
      <c r="HQ18"/>
      <c r="HR18"/>
      <c r="HS18"/>
      <c r="HT18"/>
      <c r="HU18"/>
      <c r="HV18"/>
      <c r="HW18"/>
      <c r="HX18"/>
      <c r="HY18"/>
      <c r="HZ18"/>
      <c r="IA18"/>
      <c r="IB18"/>
      <c r="IC18"/>
      <c r="ID18"/>
      <c r="IE18"/>
      <c r="IF18"/>
      <c r="IG18"/>
      <c r="IH18"/>
      <c r="II18"/>
      <c r="IJ18"/>
      <c r="IK18"/>
      <c r="IL18"/>
      <c r="IM18"/>
      <c r="IN18"/>
      <c r="IO18"/>
      <c r="IP18"/>
      <c r="IQ18"/>
      <c r="IR18"/>
      <c r="IS18"/>
      <c r="IT18"/>
      <c r="IU18"/>
    </row>
    <row r="19" spans="1:255" s="428" customFormat="1" x14ac:dyDescent="0.35">
      <c r="A19" s="116"/>
      <c r="B19" s="96"/>
      <c r="C19" s="445"/>
      <c r="D19" s="98"/>
      <c r="E19" s="98"/>
      <c r="F19" s="446"/>
      <c r="G19" s="213"/>
      <c r="H19" s="100"/>
      <c r="I19" s="98"/>
      <c r="J19" s="99"/>
      <c r="K19" s="98"/>
      <c r="L19" s="141"/>
      <c r="M19" s="98"/>
      <c r="N19" s="141"/>
      <c r="O19" s="98"/>
      <c r="P19" s="99"/>
      <c r="Q19" s="99"/>
      <c r="R19" s="100"/>
      <c r="S19" s="98"/>
      <c r="T19" s="139">
        <v>43647</v>
      </c>
      <c r="U19" s="81">
        <v>43829</v>
      </c>
      <c r="V19" s="82">
        <f t="shared" si="0"/>
        <v>6</v>
      </c>
      <c r="W19" s="424">
        <v>4.9800000000000004</v>
      </c>
      <c r="X19" s="99">
        <v>0.5</v>
      </c>
      <c r="Y19" s="425">
        <v>0.09</v>
      </c>
      <c r="Z19" s="426"/>
      <c r="AA19" s="83">
        <f t="shared" si="1"/>
        <v>5.9282000000000004</v>
      </c>
      <c r="AB19" s="427">
        <v>1490000</v>
      </c>
      <c r="AC19" s="84">
        <f t="shared" si="2"/>
        <v>52998108</v>
      </c>
      <c r="AD19" s="226"/>
      <c r="AE19" s="99"/>
      <c r="AF19" s="99"/>
      <c r="AG19" s="98"/>
      <c r="AH19" s="99"/>
      <c r="AI19" s="98"/>
      <c r="AJ19" s="113"/>
      <c r="AK19" s="447"/>
      <c r="AL19" s="103"/>
      <c r="AM19" s="103"/>
      <c r="AN19" s="102"/>
      <c r="AO19"/>
      <c r="AP19"/>
      <c r="AQ19"/>
      <c r="AR19"/>
      <c r="AS19"/>
      <c r="AT19"/>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c r="CH19"/>
      <c r="CI19"/>
      <c r="CJ19"/>
      <c r="CK19"/>
      <c r="CL19"/>
      <c r="CM19"/>
      <c r="CN19"/>
      <c r="CO19"/>
      <c r="CP19"/>
      <c r="CQ19"/>
      <c r="CR19"/>
      <c r="CS19"/>
      <c r="CT19"/>
      <c r="CU19"/>
      <c r="CV19"/>
      <c r="CW19"/>
      <c r="CX19"/>
      <c r="CY19"/>
      <c r="CZ19"/>
      <c r="DA19"/>
      <c r="DB19"/>
      <c r="DC19"/>
      <c r="DD19"/>
      <c r="DE19"/>
      <c r="DF19"/>
      <c r="DG19"/>
      <c r="DH19"/>
      <c r="DI19"/>
      <c r="DJ19"/>
      <c r="DK19"/>
      <c r="DL19"/>
      <c r="DM19"/>
      <c r="DN19"/>
      <c r="DO19"/>
      <c r="DP19"/>
      <c r="DQ19"/>
      <c r="DR19"/>
      <c r="DS19"/>
      <c r="DT19"/>
      <c r="DU19"/>
      <c r="DV19"/>
      <c r="DW19"/>
      <c r="DX19"/>
      <c r="DY19"/>
      <c r="DZ19"/>
      <c r="EA19"/>
      <c r="EB19"/>
      <c r="EC19"/>
      <c r="ED19"/>
      <c r="EE19"/>
      <c r="EF19"/>
      <c r="EG19"/>
      <c r="EH19"/>
      <c r="EI19"/>
      <c r="EJ19"/>
      <c r="EK19"/>
      <c r="EL19"/>
      <c r="EM19"/>
      <c r="EN19"/>
      <c r="EO19"/>
      <c r="EP19"/>
      <c r="EQ19"/>
      <c r="ER19"/>
      <c r="ES19"/>
      <c r="ET19"/>
      <c r="EU19"/>
      <c r="EV19"/>
      <c r="EW19"/>
      <c r="EX19"/>
      <c r="EY19"/>
      <c r="EZ19"/>
      <c r="FA19"/>
      <c r="FB19"/>
      <c r="FC19"/>
      <c r="FD19"/>
      <c r="FE19"/>
      <c r="FF19"/>
      <c r="FG19"/>
      <c r="FH19"/>
      <c r="FI19"/>
      <c r="FJ19"/>
      <c r="FK19"/>
      <c r="FL19"/>
      <c r="FM19"/>
      <c r="FN19"/>
      <c r="FO19"/>
      <c r="FP19"/>
      <c r="FQ19"/>
      <c r="FR19"/>
      <c r="FS19"/>
      <c r="FT19"/>
      <c r="FU19"/>
      <c r="FV19"/>
      <c r="FW19"/>
      <c r="FX19"/>
      <c r="FY19"/>
      <c r="FZ19"/>
      <c r="GA19"/>
      <c r="GB19"/>
      <c r="GC19"/>
      <c r="GD19"/>
      <c r="GE19"/>
      <c r="GF19"/>
      <c r="GG19"/>
      <c r="GH19"/>
      <c r="GI19"/>
      <c r="GJ19"/>
      <c r="GK19"/>
      <c r="GL19"/>
      <c r="GM19"/>
      <c r="GN19"/>
      <c r="GO19"/>
      <c r="GP19"/>
      <c r="GQ19"/>
      <c r="GR19"/>
      <c r="GS19"/>
      <c r="GT19"/>
      <c r="GU19"/>
      <c r="GV19"/>
      <c r="GW19"/>
      <c r="GX19"/>
      <c r="GY19"/>
      <c r="GZ19"/>
      <c r="HA19"/>
      <c r="HB19"/>
      <c r="HC19"/>
      <c r="HD19"/>
      <c r="HE19"/>
      <c r="HF19"/>
      <c r="HG19"/>
      <c r="HH19"/>
      <c r="HI19"/>
      <c r="HJ19"/>
      <c r="HK19"/>
      <c r="HL19"/>
      <c r="HM19"/>
      <c r="HN19"/>
      <c r="HO19"/>
      <c r="HP19"/>
      <c r="HQ19"/>
      <c r="HR19"/>
      <c r="HS19"/>
      <c r="HT19"/>
      <c r="HU19"/>
      <c r="HV19"/>
      <c r="HW19"/>
      <c r="HX19"/>
      <c r="HY19"/>
      <c r="HZ19"/>
      <c r="IA19"/>
      <c r="IB19"/>
      <c r="IC19"/>
      <c r="ID19"/>
      <c r="IE19"/>
      <c r="IF19"/>
      <c r="IG19"/>
      <c r="IH19"/>
      <c r="II19"/>
      <c r="IJ19"/>
      <c r="IK19"/>
      <c r="IL19"/>
      <c r="IM19"/>
      <c r="IN19"/>
      <c r="IO19"/>
      <c r="IP19"/>
      <c r="IQ19"/>
      <c r="IR19"/>
      <c r="IS19"/>
      <c r="IT19"/>
      <c r="IU19"/>
    </row>
    <row r="20" spans="1:255" s="428" customFormat="1" x14ac:dyDescent="0.35">
      <c r="A20" s="116"/>
      <c r="B20" s="96"/>
      <c r="C20" s="445"/>
      <c r="D20" s="98"/>
      <c r="E20" s="98"/>
      <c r="F20" s="446"/>
      <c r="G20" s="213"/>
      <c r="H20" s="100"/>
      <c r="I20" s="98"/>
      <c r="J20" s="99"/>
      <c r="K20" s="98"/>
      <c r="L20" s="141"/>
      <c r="M20" s="98"/>
      <c r="N20" s="141"/>
      <c r="O20" s="98"/>
      <c r="P20" s="99"/>
      <c r="Q20" s="99"/>
      <c r="R20" s="100"/>
      <c r="S20" s="98"/>
      <c r="T20" s="139">
        <v>43831</v>
      </c>
      <c r="U20" s="81">
        <v>44195</v>
      </c>
      <c r="V20" s="82">
        <f t="shared" si="0"/>
        <v>12</v>
      </c>
      <c r="W20" s="424">
        <v>4.9800000000000004</v>
      </c>
      <c r="X20" s="99">
        <v>0.5</v>
      </c>
      <c r="Y20" s="425">
        <v>0.1</v>
      </c>
      <c r="Z20" s="426"/>
      <c r="AA20" s="83">
        <f t="shared" si="1"/>
        <v>5.9780000000000006</v>
      </c>
      <c r="AB20" s="427">
        <v>1490000</v>
      </c>
      <c r="AC20" s="84">
        <f t="shared" si="2"/>
        <v>106886640</v>
      </c>
      <c r="AD20" s="226"/>
      <c r="AE20" s="99"/>
      <c r="AF20" s="99"/>
      <c r="AG20" s="98"/>
      <c r="AH20" s="99"/>
      <c r="AI20" s="98"/>
      <c r="AJ20" s="113"/>
      <c r="AK20" s="447"/>
      <c r="AL20" s="103"/>
      <c r="AM20" s="103"/>
      <c r="AN20" s="102"/>
      <c r="AO20"/>
      <c r="AP20"/>
      <c r="AQ20"/>
      <c r="AR20"/>
      <c r="AS20"/>
      <c r="AT20"/>
      <c r="AU20"/>
      <c r="AV20"/>
      <c r="AW20"/>
      <c r="AX20"/>
      <c r="AY20"/>
      <c r="AZ20"/>
      <c r="BA20"/>
      <c r="BB20"/>
      <c r="BC20"/>
      <c r="BD20"/>
      <c r="BE20"/>
      <c r="BF20"/>
      <c r="BG20"/>
      <c r="BH20"/>
      <c r="BI20"/>
      <c r="BJ20"/>
      <c r="BK20"/>
      <c r="BL20"/>
      <c r="BM20"/>
      <c r="BN20"/>
      <c r="BO20"/>
      <c r="BP20"/>
      <c r="BQ20"/>
      <c r="BR20"/>
      <c r="BS20"/>
      <c r="BT20"/>
      <c r="BU20"/>
      <c r="BV20"/>
      <c r="BW20"/>
      <c r="BX20"/>
      <c r="BY20"/>
      <c r="BZ20"/>
      <c r="CA20"/>
      <c r="CB20"/>
      <c r="CC20"/>
      <c r="CD20"/>
      <c r="CE20"/>
      <c r="CF20"/>
      <c r="CG20"/>
      <c r="CH20"/>
      <c r="CI20"/>
      <c r="CJ20"/>
      <c r="CK20"/>
      <c r="CL20"/>
      <c r="CM20"/>
      <c r="CN20"/>
      <c r="CO20"/>
      <c r="CP20"/>
      <c r="CQ20"/>
      <c r="CR20"/>
      <c r="CS20"/>
      <c r="CT20"/>
      <c r="CU20"/>
      <c r="CV20"/>
      <c r="CW20"/>
      <c r="CX20"/>
      <c r="CY20"/>
      <c r="CZ20"/>
      <c r="DA20"/>
      <c r="DB20"/>
      <c r="DC20"/>
      <c r="DD20"/>
      <c r="DE20"/>
      <c r="DF20"/>
      <c r="DG20"/>
      <c r="DH20"/>
      <c r="DI20"/>
      <c r="DJ20"/>
      <c r="DK20"/>
      <c r="DL20"/>
      <c r="DM20"/>
      <c r="DN20"/>
      <c r="DO20"/>
      <c r="DP20"/>
      <c r="DQ20"/>
      <c r="DR20"/>
      <c r="DS20"/>
      <c r="DT20"/>
      <c r="DU20"/>
      <c r="DV20"/>
      <c r="DW20"/>
      <c r="DX20"/>
      <c r="DY20"/>
      <c r="DZ20"/>
      <c r="EA20"/>
      <c r="EB20"/>
      <c r="EC20"/>
      <c r="ED20"/>
      <c r="EE20"/>
      <c r="EF20"/>
      <c r="EG20"/>
      <c r="EH20"/>
      <c r="EI20"/>
      <c r="EJ20"/>
      <c r="EK20"/>
      <c r="EL20"/>
      <c r="EM20"/>
      <c r="EN20"/>
      <c r="EO20"/>
      <c r="EP20"/>
      <c r="EQ20"/>
      <c r="ER20"/>
      <c r="ES20"/>
      <c r="ET20"/>
      <c r="EU20"/>
      <c r="EV20"/>
      <c r="EW20"/>
      <c r="EX20"/>
      <c r="EY20"/>
      <c r="EZ20"/>
      <c r="FA20"/>
      <c r="FB20"/>
      <c r="FC20"/>
      <c r="FD20"/>
      <c r="FE20"/>
      <c r="FF20"/>
      <c r="FG20"/>
      <c r="FH20"/>
      <c r="FI20"/>
      <c r="FJ20"/>
      <c r="FK20"/>
      <c r="FL20"/>
      <c r="FM20"/>
      <c r="FN20"/>
      <c r="FO20"/>
      <c r="FP20"/>
      <c r="FQ20"/>
      <c r="FR20"/>
      <c r="FS20"/>
      <c r="FT20"/>
      <c r="FU20"/>
      <c r="FV20"/>
      <c r="FW20"/>
      <c r="FX20"/>
      <c r="FY20"/>
      <c r="FZ20"/>
      <c r="GA20"/>
      <c r="GB20"/>
      <c r="GC20"/>
      <c r="GD20"/>
      <c r="GE20"/>
      <c r="GF20"/>
      <c r="GG20"/>
      <c r="GH20"/>
      <c r="GI20"/>
      <c r="GJ20"/>
      <c r="GK20"/>
      <c r="GL20"/>
      <c r="GM20"/>
      <c r="GN20"/>
      <c r="GO20"/>
      <c r="GP20"/>
      <c r="GQ20"/>
      <c r="GR20"/>
      <c r="GS20"/>
      <c r="GT20"/>
      <c r="GU20"/>
      <c r="GV20"/>
      <c r="GW20"/>
      <c r="GX20"/>
      <c r="GY20"/>
      <c r="GZ20"/>
      <c r="HA20"/>
      <c r="HB20"/>
      <c r="HC20"/>
      <c r="HD20"/>
      <c r="HE20"/>
      <c r="HF20"/>
      <c r="HG20"/>
      <c r="HH20"/>
      <c r="HI20"/>
      <c r="HJ20"/>
      <c r="HK20"/>
      <c r="HL20"/>
      <c r="HM20"/>
      <c r="HN20"/>
      <c r="HO20"/>
      <c r="HP20"/>
      <c r="HQ20"/>
      <c r="HR20"/>
      <c r="HS20"/>
      <c r="HT20"/>
      <c r="HU20"/>
      <c r="HV20"/>
      <c r="HW20"/>
      <c r="HX20"/>
      <c r="HY20"/>
      <c r="HZ20"/>
      <c r="IA20"/>
      <c r="IB20"/>
      <c r="IC20"/>
      <c r="ID20"/>
      <c r="IE20"/>
      <c r="IF20"/>
      <c r="IG20"/>
      <c r="IH20"/>
      <c r="II20"/>
      <c r="IJ20"/>
      <c r="IK20"/>
      <c r="IL20"/>
      <c r="IM20"/>
      <c r="IN20"/>
      <c r="IO20"/>
      <c r="IP20"/>
      <c r="IQ20"/>
      <c r="IR20"/>
      <c r="IS20"/>
      <c r="IT20"/>
      <c r="IU20"/>
    </row>
    <row r="21" spans="1:255" s="428" customFormat="1" x14ac:dyDescent="0.35">
      <c r="A21" s="116"/>
      <c r="B21" s="96"/>
      <c r="C21" s="445"/>
      <c r="D21" s="98"/>
      <c r="E21" s="98"/>
      <c r="F21" s="446"/>
      <c r="G21" s="213"/>
      <c r="H21" s="100"/>
      <c r="I21" s="98"/>
      <c r="J21" s="99"/>
      <c r="K21" s="98"/>
      <c r="L21" s="141"/>
      <c r="M21" s="98"/>
      <c r="N21" s="141"/>
      <c r="O21" s="98"/>
      <c r="P21" s="99"/>
      <c r="Q21" s="99"/>
      <c r="R21" s="100"/>
      <c r="S21" s="98"/>
      <c r="T21" s="139">
        <v>44197</v>
      </c>
      <c r="U21" s="81">
        <v>44560</v>
      </c>
      <c r="V21" s="82">
        <f t="shared" si="0"/>
        <v>12</v>
      </c>
      <c r="W21" s="424">
        <v>4.9800000000000004</v>
      </c>
      <c r="X21" s="99">
        <v>0.5</v>
      </c>
      <c r="Y21" s="425">
        <v>0.11</v>
      </c>
      <c r="Z21" s="426"/>
      <c r="AA21" s="83">
        <f t="shared" si="1"/>
        <v>6.0278000000000009</v>
      </c>
      <c r="AB21" s="427">
        <v>1490000</v>
      </c>
      <c r="AC21" s="84">
        <f t="shared" si="2"/>
        <v>107777064.00000003</v>
      </c>
      <c r="AD21" s="226"/>
      <c r="AE21" s="99"/>
      <c r="AF21" s="99"/>
      <c r="AG21" s="98"/>
      <c r="AH21" s="99"/>
      <c r="AI21" s="98"/>
      <c r="AJ21" s="113"/>
      <c r="AK21" s="447"/>
      <c r="AL21" s="103"/>
      <c r="AM21" s="103"/>
      <c r="AN21" s="102"/>
      <c r="AO21"/>
      <c r="AP21"/>
      <c r="AQ21"/>
      <c r="AR21"/>
      <c r="AS21"/>
      <c r="AT21"/>
      <c r="AU21"/>
      <c r="AV21"/>
      <c r="AW21"/>
      <c r="AX21"/>
      <c r="AY21"/>
      <c r="AZ21"/>
      <c r="BA21"/>
      <c r="BB21"/>
      <c r="BC21"/>
      <c r="BD21"/>
      <c r="BE21"/>
      <c r="BF21"/>
      <c r="BG21"/>
      <c r="BH21"/>
      <c r="BI21"/>
      <c r="BJ21"/>
      <c r="BK21"/>
      <c r="BL21"/>
      <c r="BM21"/>
      <c r="BN21"/>
      <c r="BO21"/>
      <c r="BP21"/>
      <c r="BQ21"/>
      <c r="BR21"/>
      <c r="BS21"/>
      <c r="BT21"/>
      <c r="BU21"/>
      <c r="BV21"/>
      <c r="BW21"/>
      <c r="BX21"/>
      <c r="BY21"/>
      <c r="BZ21"/>
      <c r="CA21"/>
      <c r="CB21"/>
      <c r="CC21"/>
      <c r="CD21"/>
      <c r="CE21"/>
      <c r="CF21"/>
      <c r="CG21"/>
      <c r="CH21"/>
      <c r="CI21"/>
      <c r="CJ21"/>
      <c r="CK21"/>
      <c r="CL21"/>
      <c r="CM21"/>
      <c r="CN21"/>
      <c r="CO21"/>
      <c r="CP21"/>
      <c r="CQ21"/>
      <c r="CR21"/>
      <c r="CS21"/>
      <c r="CT21"/>
      <c r="CU21"/>
      <c r="CV21"/>
      <c r="CW21"/>
      <c r="CX21"/>
      <c r="CY21"/>
      <c r="CZ21"/>
      <c r="DA21"/>
      <c r="DB21"/>
      <c r="DC21"/>
      <c r="DD21"/>
      <c r="DE21"/>
      <c r="DF21"/>
      <c r="DG21"/>
      <c r="DH21"/>
      <c r="DI21"/>
      <c r="DJ21"/>
      <c r="DK21"/>
      <c r="DL21"/>
      <c r="DM21"/>
      <c r="DN21"/>
      <c r="DO21"/>
      <c r="DP21"/>
      <c r="DQ21"/>
      <c r="DR21"/>
      <c r="DS21"/>
      <c r="DT21"/>
      <c r="DU21"/>
      <c r="DV21"/>
      <c r="DW21"/>
      <c r="DX21"/>
      <c r="DY21"/>
      <c r="DZ21"/>
      <c r="EA21"/>
      <c r="EB21"/>
      <c r="EC21"/>
      <c r="ED21"/>
      <c r="EE21"/>
      <c r="EF21"/>
      <c r="EG21"/>
      <c r="EH21"/>
      <c r="EI21"/>
      <c r="EJ21"/>
      <c r="EK21"/>
      <c r="EL21"/>
      <c r="EM21"/>
      <c r="EN21"/>
      <c r="EO21"/>
      <c r="EP21"/>
      <c r="EQ21"/>
      <c r="ER21"/>
      <c r="ES21"/>
      <c r="ET21"/>
      <c r="EU21"/>
      <c r="EV21"/>
      <c r="EW21"/>
      <c r="EX21"/>
      <c r="EY21"/>
      <c r="EZ21"/>
      <c r="FA21"/>
      <c r="FB21"/>
      <c r="FC21"/>
      <c r="FD21"/>
      <c r="FE21"/>
      <c r="FF21"/>
      <c r="FG21"/>
      <c r="FH21"/>
      <c r="FI21"/>
      <c r="FJ21"/>
      <c r="FK21"/>
      <c r="FL21"/>
      <c r="FM21"/>
      <c r="FN21"/>
      <c r="FO21"/>
      <c r="FP21"/>
      <c r="FQ21"/>
      <c r="FR21"/>
      <c r="FS21"/>
      <c r="FT21"/>
      <c r="FU21"/>
      <c r="FV21"/>
      <c r="FW21"/>
      <c r="FX21"/>
      <c r="FY21"/>
      <c r="FZ21"/>
      <c r="GA21"/>
      <c r="GB21"/>
      <c r="GC21"/>
      <c r="GD21"/>
      <c r="GE21"/>
      <c r="GF21"/>
      <c r="GG21"/>
      <c r="GH21"/>
      <c r="GI21"/>
      <c r="GJ21"/>
      <c r="GK21"/>
      <c r="GL21"/>
      <c r="GM21"/>
      <c r="GN21"/>
      <c r="GO21"/>
      <c r="GP21"/>
      <c r="GQ21"/>
      <c r="GR21"/>
      <c r="GS21"/>
      <c r="GT21"/>
      <c r="GU21"/>
      <c r="GV21"/>
      <c r="GW21"/>
      <c r="GX21"/>
      <c r="GY21"/>
      <c r="GZ21"/>
      <c r="HA21"/>
      <c r="HB21"/>
      <c r="HC21"/>
      <c r="HD21"/>
      <c r="HE21"/>
      <c r="HF21"/>
      <c r="HG21"/>
      <c r="HH21"/>
      <c r="HI21"/>
      <c r="HJ21"/>
      <c r="HK21"/>
      <c r="HL21"/>
      <c r="HM21"/>
      <c r="HN21"/>
      <c r="HO21"/>
      <c r="HP21"/>
      <c r="HQ21"/>
      <c r="HR21"/>
      <c r="HS21"/>
      <c r="HT21"/>
      <c r="HU21"/>
      <c r="HV21"/>
      <c r="HW21"/>
      <c r="HX21"/>
      <c r="HY21"/>
      <c r="HZ21"/>
      <c r="IA21"/>
      <c r="IB21"/>
      <c r="IC21"/>
      <c r="ID21"/>
      <c r="IE21"/>
      <c r="IF21"/>
      <c r="IG21"/>
      <c r="IH21"/>
      <c r="II21"/>
      <c r="IJ21"/>
      <c r="IK21"/>
      <c r="IL21"/>
      <c r="IM21"/>
      <c r="IN21"/>
      <c r="IO21"/>
      <c r="IP21"/>
      <c r="IQ21"/>
      <c r="IR21"/>
      <c r="IS21"/>
      <c r="IT21"/>
      <c r="IU21"/>
    </row>
    <row r="22" spans="1:255" s="428" customFormat="1" x14ac:dyDescent="0.35">
      <c r="A22" s="116"/>
      <c r="B22" s="96"/>
      <c r="C22" s="445"/>
      <c r="D22" s="98"/>
      <c r="E22" s="98"/>
      <c r="F22" s="446"/>
      <c r="G22" s="213"/>
      <c r="H22" s="100"/>
      <c r="I22" s="98"/>
      <c r="J22" s="99"/>
      <c r="K22" s="98"/>
      <c r="L22" s="141"/>
      <c r="M22" s="98"/>
      <c r="N22" s="141"/>
      <c r="O22" s="98"/>
      <c r="P22" s="99"/>
      <c r="Q22" s="99"/>
      <c r="R22" s="100"/>
      <c r="S22" s="98"/>
      <c r="T22" s="139">
        <v>44562</v>
      </c>
      <c r="U22" s="81">
        <v>44956</v>
      </c>
      <c r="V22" s="82">
        <f t="shared" si="0"/>
        <v>13</v>
      </c>
      <c r="W22" s="424">
        <v>4.9800000000000004</v>
      </c>
      <c r="X22" s="99">
        <v>0.5</v>
      </c>
      <c r="Y22" s="425">
        <v>0.12</v>
      </c>
      <c r="Z22" s="426"/>
      <c r="AA22" s="83">
        <f t="shared" si="1"/>
        <v>6.0776000000000003</v>
      </c>
      <c r="AB22" s="427">
        <v>1490000</v>
      </c>
      <c r="AC22" s="84">
        <f t="shared" si="2"/>
        <v>117723112.00000001</v>
      </c>
      <c r="AD22" s="226"/>
      <c r="AE22" s="99"/>
      <c r="AF22" s="99"/>
      <c r="AG22" s="98"/>
      <c r="AH22" s="99"/>
      <c r="AI22" s="98"/>
      <c r="AJ22" s="113"/>
      <c r="AK22" s="447"/>
      <c r="AL22" s="103"/>
      <c r="AM22" s="103"/>
      <c r="AN22" s="102"/>
      <c r="AO22"/>
      <c r="AP22"/>
      <c r="AQ22"/>
      <c r="AR22"/>
      <c r="AS22"/>
      <c r="AT22"/>
      <c r="AU22"/>
      <c r="AV22"/>
      <c r="AW22"/>
      <c r="AX22"/>
      <c r="AY22"/>
      <c r="AZ22"/>
      <c r="BA22"/>
      <c r="BB22"/>
      <c r="BC22"/>
      <c r="BD22"/>
      <c r="BE22"/>
      <c r="BF22"/>
      <c r="BG22"/>
      <c r="BH22"/>
      <c r="BI22"/>
      <c r="BJ22"/>
      <c r="BK22"/>
      <c r="BL22"/>
      <c r="BM22"/>
      <c r="BN22"/>
      <c r="BO22"/>
      <c r="BP22"/>
      <c r="BQ22"/>
      <c r="BR22"/>
      <c r="BS22"/>
      <c r="BT22"/>
      <c r="BU22"/>
      <c r="BV22"/>
      <c r="BW22"/>
      <c r="BX22"/>
      <c r="BY22"/>
      <c r="BZ22"/>
      <c r="CA22"/>
      <c r="CB22"/>
      <c r="CC22"/>
      <c r="CD22"/>
      <c r="CE22"/>
      <c r="CF22"/>
      <c r="CG22"/>
      <c r="CH22"/>
      <c r="CI22"/>
      <c r="CJ22"/>
      <c r="CK22"/>
      <c r="CL22"/>
      <c r="CM22"/>
      <c r="CN22"/>
      <c r="CO22"/>
      <c r="CP22"/>
      <c r="CQ22"/>
      <c r="CR22"/>
      <c r="CS22"/>
      <c r="CT22"/>
      <c r="CU22"/>
      <c r="CV22"/>
      <c r="CW22"/>
      <c r="CX22"/>
      <c r="CY22"/>
      <c r="CZ22"/>
      <c r="DA22"/>
      <c r="DB22"/>
      <c r="DC22"/>
      <c r="DD22"/>
      <c r="DE22"/>
      <c r="DF22"/>
      <c r="DG22"/>
      <c r="DH22"/>
      <c r="DI22"/>
      <c r="DJ22"/>
      <c r="DK22"/>
      <c r="DL22"/>
      <c r="DM22"/>
      <c r="DN22"/>
      <c r="DO22"/>
      <c r="DP22"/>
      <c r="DQ22"/>
      <c r="DR22"/>
      <c r="DS22"/>
      <c r="DT22"/>
      <c r="DU22"/>
      <c r="DV22"/>
      <c r="DW22"/>
      <c r="DX22"/>
      <c r="DY22"/>
      <c r="DZ22"/>
      <c r="EA22"/>
      <c r="EB22"/>
      <c r="EC22"/>
      <c r="ED22"/>
      <c r="EE22"/>
      <c r="EF22"/>
      <c r="EG22"/>
      <c r="EH22"/>
      <c r="EI22"/>
      <c r="EJ22"/>
      <c r="EK22"/>
      <c r="EL22"/>
      <c r="EM22"/>
      <c r="EN22"/>
      <c r="EO22"/>
      <c r="EP22"/>
      <c r="EQ22"/>
      <c r="ER22"/>
      <c r="ES22"/>
      <c r="ET22"/>
      <c r="EU22"/>
      <c r="EV22"/>
      <c r="EW22"/>
      <c r="EX22"/>
      <c r="EY22"/>
      <c r="EZ22"/>
      <c r="FA22"/>
      <c r="FB22"/>
      <c r="FC22"/>
      <c r="FD22"/>
      <c r="FE22"/>
      <c r="FF22"/>
      <c r="FG22"/>
      <c r="FH22"/>
      <c r="FI22"/>
      <c r="FJ22"/>
      <c r="FK22"/>
      <c r="FL22"/>
      <c r="FM22"/>
      <c r="FN22"/>
      <c r="FO22"/>
      <c r="FP22"/>
      <c r="FQ22"/>
      <c r="FR22"/>
      <c r="FS22"/>
      <c r="FT22"/>
      <c r="FU22"/>
      <c r="FV22"/>
      <c r="FW22"/>
      <c r="FX22"/>
      <c r="FY22"/>
      <c r="FZ22"/>
      <c r="GA22"/>
      <c r="GB22"/>
      <c r="GC22"/>
      <c r="GD22"/>
      <c r="GE22"/>
      <c r="GF22"/>
      <c r="GG22"/>
      <c r="GH22"/>
      <c r="GI22"/>
      <c r="GJ22"/>
      <c r="GK22"/>
      <c r="GL22"/>
      <c r="GM22"/>
      <c r="GN22"/>
      <c r="GO22"/>
      <c r="GP22"/>
      <c r="GQ22"/>
      <c r="GR22"/>
      <c r="GS22"/>
      <c r="GT22"/>
      <c r="GU22"/>
      <c r="GV22"/>
      <c r="GW22"/>
      <c r="GX22"/>
      <c r="GY22"/>
      <c r="GZ22"/>
      <c r="HA22"/>
      <c r="HB22"/>
      <c r="HC22"/>
      <c r="HD22"/>
      <c r="HE22"/>
      <c r="HF22"/>
      <c r="HG22"/>
      <c r="HH22"/>
      <c r="HI22"/>
      <c r="HJ22"/>
      <c r="HK22"/>
      <c r="HL22"/>
      <c r="HM22"/>
      <c r="HN22"/>
      <c r="HO22"/>
      <c r="HP22"/>
      <c r="HQ22"/>
      <c r="HR22"/>
      <c r="HS22"/>
      <c r="HT22"/>
      <c r="HU22"/>
      <c r="HV22"/>
      <c r="HW22"/>
      <c r="HX22"/>
      <c r="HY22"/>
      <c r="HZ22"/>
      <c r="IA22"/>
      <c r="IB22"/>
      <c r="IC22"/>
      <c r="ID22"/>
      <c r="IE22"/>
      <c r="IF22"/>
      <c r="IG22"/>
      <c r="IH22"/>
      <c r="II22"/>
      <c r="IJ22"/>
      <c r="IK22"/>
      <c r="IL22"/>
      <c r="IM22"/>
      <c r="IN22"/>
      <c r="IO22"/>
      <c r="IP22"/>
      <c r="IQ22"/>
      <c r="IR22"/>
      <c r="IS22"/>
      <c r="IT22"/>
      <c r="IU22"/>
    </row>
    <row r="23" spans="1:255" s="428" customFormat="1" x14ac:dyDescent="0.35">
      <c r="A23" s="116"/>
      <c r="B23" s="96"/>
      <c r="C23" s="445"/>
      <c r="D23" s="98"/>
      <c r="E23" s="98"/>
      <c r="F23" s="446"/>
      <c r="G23" s="213"/>
      <c r="H23" s="100"/>
      <c r="I23" s="98"/>
      <c r="J23" s="99"/>
      <c r="K23" s="98"/>
      <c r="L23" s="141"/>
      <c r="M23" s="98"/>
      <c r="N23" s="141"/>
      <c r="O23" s="98"/>
      <c r="P23" s="99"/>
      <c r="Q23" s="99"/>
      <c r="R23" s="100"/>
      <c r="S23" s="98"/>
      <c r="T23" s="139"/>
      <c r="U23" s="139"/>
      <c r="V23" s="448">
        <f>SUM(V16:V22)</f>
        <v>67</v>
      </c>
      <c r="W23" s="449"/>
      <c r="X23" s="450"/>
      <c r="Y23" s="451"/>
      <c r="Z23" s="452"/>
      <c r="AA23" s="453"/>
      <c r="AB23" s="454"/>
      <c r="AC23" s="455">
        <f>SUM(AC16:AC22)</f>
        <v>569099008</v>
      </c>
      <c r="AD23" s="456"/>
      <c r="AE23" s="99"/>
      <c r="AF23" s="99"/>
      <c r="AG23" s="98"/>
      <c r="AH23" s="99"/>
      <c r="AI23" s="98"/>
      <c r="AJ23" s="113"/>
      <c r="AK23" s="447"/>
      <c r="AL23" s="103"/>
      <c r="AM23" s="103"/>
      <c r="AN23" s="102"/>
      <c r="AO23"/>
      <c r="AP23"/>
      <c r="AQ23"/>
      <c r="AR23"/>
      <c r="AS23"/>
      <c r="AT23"/>
      <c r="AU23"/>
      <c r="AV23"/>
      <c r="AW23"/>
      <c r="AX23"/>
      <c r="AY23"/>
      <c r="AZ23"/>
      <c r="BA23"/>
      <c r="BB23"/>
      <c r="BC23"/>
      <c r="BD23"/>
      <c r="BE23"/>
      <c r="BF23"/>
      <c r="BG23"/>
      <c r="BH23"/>
      <c r="BI23"/>
      <c r="BJ23"/>
      <c r="BK23"/>
      <c r="BL23"/>
      <c r="BM23"/>
      <c r="BN23"/>
      <c r="BO23"/>
      <c r="BP23"/>
      <c r="BQ23"/>
      <c r="BR23"/>
      <c r="BS23"/>
      <c r="BT23"/>
      <c r="BU23"/>
      <c r="BV23"/>
      <c r="BW23"/>
      <c r="BX23"/>
      <c r="BY23"/>
      <c r="BZ23"/>
      <c r="CA23"/>
      <c r="CB23"/>
      <c r="CC23"/>
      <c r="CD23"/>
      <c r="CE23"/>
      <c r="CF23"/>
      <c r="CG23"/>
      <c r="CH23"/>
      <c r="CI23"/>
      <c r="CJ23"/>
      <c r="CK23"/>
      <c r="CL23"/>
      <c r="CM23"/>
      <c r="CN23"/>
      <c r="CO23"/>
      <c r="CP23"/>
      <c r="CQ23"/>
      <c r="CR23"/>
      <c r="CS23"/>
      <c r="CT23"/>
      <c r="CU23"/>
      <c r="CV23"/>
      <c r="CW23"/>
      <c r="CX23"/>
      <c r="CY23"/>
      <c r="CZ23"/>
      <c r="DA23"/>
      <c r="DB23"/>
      <c r="DC23"/>
      <c r="DD23"/>
      <c r="DE23"/>
      <c r="DF23"/>
      <c r="DG23"/>
      <c r="DH23"/>
      <c r="DI23"/>
      <c r="DJ23"/>
      <c r="DK23"/>
      <c r="DL23"/>
      <c r="DM23"/>
      <c r="DN23"/>
      <c r="DO23"/>
      <c r="DP23"/>
      <c r="DQ23"/>
      <c r="DR23"/>
      <c r="DS23"/>
      <c r="DT23"/>
      <c r="DU23"/>
      <c r="DV23"/>
      <c r="DW23"/>
      <c r="DX23"/>
      <c r="DY23"/>
      <c r="DZ23"/>
      <c r="EA23"/>
      <c r="EB23"/>
      <c r="EC23"/>
      <c r="ED23"/>
      <c r="EE23"/>
      <c r="EF23"/>
      <c r="EG23"/>
      <c r="EH23"/>
      <c r="EI23"/>
      <c r="EJ23"/>
      <c r="EK23"/>
      <c r="EL23"/>
      <c r="EM23"/>
      <c r="EN23"/>
      <c r="EO23"/>
      <c r="EP23"/>
      <c r="EQ23"/>
      <c r="ER23"/>
      <c r="ES23"/>
      <c r="ET23"/>
      <c r="EU23"/>
      <c r="EV23"/>
      <c r="EW23"/>
      <c r="EX23"/>
      <c r="EY23"/>
      <c r="EZ23"/>
      <c r="FA23"/>
      <c r="FB23"/>
      <c r="FC23"/>
      <c r="FD23"/>
      <c r="FE23"/>
      <c r="FF23"/>
      <c r="FG23"/>
      <c r="FH23"/>
      <c r="FI23"/>
      <c r="FJ23"/>
      <c r="FK23"/>
      <c r="FL23"/>
      <c r="FM23"/>
      <c r="FN23"/>
      <c r="FO23"/>
      <c r="FP23"/>
      <c r="FQ23"/>
      <c r="FR23"/>
      <c r="FS23"/>
      <c r="FT23"/>
      <c r="FU23"/>
      <c r="FV23"/>
      <c r="FW23"/>
      <c r="FX23"/>
      <c r="FY23"/>
      <c r="FZ23"/>
      <c r="GA23"/>
      <c r="GB23"/>
      <c r="GC23"/>
      <c r="GD23"/>
      <c r="GE23"/>
      <c r="GF23"/>
      <c r="GG23"/>
      <c r="GH23"/>
      <c r="GI23"/>
      <c r="GJ23"/>
      <c r="GK23"/>
      <c r="GL23"/>
      <c r="GM23"/>
      <c r="GN23"/>
      <c r="GO23"/>
      <c r="GP23"/>
      <c r="GQ23"/>
      <c r="GR23"/>
      <c r="GS23"/>
      <c r="GT23"/>
      <c r="GU23"/>
      <c r="GV23"/>
      <c r="GW23"/>
      <c r="GX23"/>
      <c r="GY23"/>
      <c r="GZ23"/>
      <c r="HA23"/>
      <c r="HB23"/>
      <c r="HC23"/>
      <c r="HD23"/>
      <c r="HE23"/>
      <c r="HF23"/>
      <c r="HG23"/>
      <c r="HH23"/>
      <c r="HI23"/>
      <c r="HJ23"/>
      <c r="HK23"/>
      <c r="HL23"/>
      <c r="HM23"/>
      <c r="HN23"/>
      <c r="HO23"/>
      <c r="HP23"/>
      <c r="HQ23"/>
      <c r="HR23"/>
      <c r="HS23"/>
      <c r="HT23"/>
      <c r="HU23"/>
      <c r="HV23"/>
      <c r="HW23"/>
      <c r="HX23"/>
      <c r="HY23"/>
      <c r="HZ23"/>
      <c r="IA23"/>
      <c r="IB23"/>
      <c r="IC23"/>
      <c r="ID23"/>
      <c r="IE23"/>
      <c r="IF23"/>
      <c r="IG23"/>
      <c r="IH23"/>
      <c r="II23"/>
      <c r="IJ23"/>
      <c r="IK23"/>
      <c r="IL23"/>
      <c r="IM23"/>
      <c r="IN23"/>
      <c r="IO23"/>
      <c r="IP23"/>
      <c r="IQ23"/>
      <c r="IR23"/>
      <c r="IS23"/>
      <c r="IT23"/>
      <c r="IU23"/>
    </row>
    <row r="24" spans="1:255" x14ac:dyDescent="0.35">
      <c r="B24" s="116"/>
      <c r="AO24" s="442"/>
      <c r="AP24" s="442"/>
      <c r="AQ24" s="442"/>
      <c r="AR24" s="442"/>
      <c r="AS24" s="442"/>
      <c r="AT24" s="442"/>
      <c r="AU24" s="442"/>
      <c r="AV24" s="442"/>
      <c r="AW24" s="442"/>
      <c r="AX24" s="442"/>
      <c r="AY24" s="442"/>
      <c r="AZ24" s="442"/>
      <c r="BA24" s="442"/>
      <c r="BB24" s="442"/>
      <c r="BC24" s="442"/>
      <c r="BD24" s="442"/>
      <c r="BE24" s="442"/>
      <c r="BF24" s="442"/>
      <c r="BG24" s="442"/>
      <c r="BH24" s="442"/>
      <c r="BI24" s="442"/>
      <c r="BJ24" s="442"/>
      <c r="BK24" s="442"/>
      <c r="BL24" s="442"/>
      <c r="BM24" s="442"/>
      <c r="BN24" s="442"/>
      <c r="BO24" s="442"/>
      <c r="BP24" s="442"/>
      <c r="BQ24" s="442"/>
      <c r="BR24" s="442"/>
      <c r="BS24" s="442"/>
      <c r="BT24" s="442"/>
      <c r="BU24" s="442"/>
      <c r="BV24" s="442"/>
      <c r="BW24" s="442"/>
      <c r="BX24" s="442"/>
      <c r="BY24" s="442"/>
      <c r="BZ24" s="442"/>
      <c r="CA24" s="442"/>
      <c r="CB24" s="442"/>
      <c r="CC24" s="442"/>
      <c r="CD24" s="442"/>
      <c r="CE24" s="442"/>
      <c r="CF24" s="442"/>
      <c r="CG24" s="442"/>
      <c r="CH24" s="442"/>
      <c r="CI24" s="442"/>
      <c r="CJ24" s="442"/>
      <c r="CK24" s="442"/>
      <c r="CL24" s="442"/>
      <c r="CM24" s="442"/>
      <c r="CN24" s="442"/>
      <c r="CO24" s="442"/>
      <c r="CP24" s="442"/>
      <c r="CQ24" s="442"/>
      <c r="CR24" s="442"/>
      <c r="CS24" s="442"/>
      <c r="CT24" s="442"/>
      <c r="CU24" s="442"/>
      <c r="CV24" s="442"/>
      <c r="CW24" s="442"/>
      <c r="CX24" s="442"/>
      <c r="CY24" s="442"/>
      <c r="CZ24" s="442"/>
      <c r="DA24" s="442"/>
      <c r="DB24" s="442"/>
      <c r="DC24" s="442"/>
      <c r="DD24" s="442"/>
      <c r="DE24" s="442"/>
      <c r="DF24" s="442"/>
      <c r="DG24" s="442"/>
      <c r="DH24" s="442"/>
      <c r="DI24" s="442"/>
      <c r="DJ24" s="442"/>
      <c r="DK24" s="442"/>
      <c r="DL24" s="442"/>
      <c r="DM24" s="442"/>
      <c r="DN24" s="442"/>
      <c r="DO24" s="442"/>
      <c r="DP24" s="442"/>
      <c r="DQ24" s="442"/>
      <c r="DR24" s="442"/>
      <c r="DS24" s="442"/>
      <c r="DT24" s="442"/>
      <c r="DU24" s="442"/>
      <c r="DV24" s="442"/>
      <c r="DW24" s="442"/>
      <c r="DX24" s="442"/>
      <c r="DY24" s="442"/>
      <c r="DZ24" s="442"/>
      <c r="EA24" s="442"/>
      <c r="EB24" s="442"/>
      <c r="EC24" s="442"/>
      <c r="ED24" s="442"/>
      <c r="EE24" s="442"/>
      <c r="EF24" s="442"/>
      <c r="EG24" s="442"/>
      <c r="EH24" s="442"/>
      <c r="EI24" s="442"/>
      <c r="EJ24" s="442"/>
      <c r="EK24" s="442"/>
      <c r="EL24" s="442"/>
      <c r="EM24" s="442"/>
      <c r="EN24" s="442"/>
      <c r="EO24" s="442"/>
      <c r="EP24" s="442"/>
      <c r="EQ24" s="442"/>
      <c r="ER24" s="442"/>
      <c r="ES24" s="442"/>
      <c r="ET24" s="442"/>
      <c r="EU24" s="442"/>
      <c r="EV24" s="442"/>
      <c r="EW24" s="442"/>
      <c r="EX24" s="442"/>
      <c r="EY24" s="442"/>
      <c r="EZ24" s="442"/>
      <c r="FA24" s="442"/>
      <c r="FB24" s="442"/>
      <c r="FC24" s="442"/>
      <c r="FD24" s="442"/>
      <c r="FE24" s="442"/>
      <c r="FF24" s="442"/>
      <c r="FG24" s="442"/>
      <c r="FH24" s="442"/>
      <c r="FI24" s="442"/>
      <c r="FJ24" s="442"/>
      <c r="FK24" s="442"/>
      <c r="FL24" s="442"/>
      <c r="FM24" s="442"/>
      <c r="FN24" s="442"/>
      <c r="FO24" s="442"/>
      <c r="FP24" s="442"/>
      <c r="FQ24" s="442"/>
      <c r="FR24" s="442"/>
      <c r="FS24" s="442"/>
      <c r="FT24" s="442"/>
      <c r="FU24" s="442"/>
      <c r="FV24" s="442"/>
      <c r="FW24" s="442"/>
      <c r="FX24" s="442"/>
      <c r="FY24" s="442"/>
      <c r="FZ24" s="442"/>
      <c r="GA24" s="442"/>
      <c r="GB24" s="442"/>
      <c r="GC24" s="442"/>
      <c r="GD24" s="442"/>
      <c r="GE24" s="442"/>
      <c r="GF24" s="442"/>
      <c r="GG24" s="442"/>
      <c r="GH24" s="442"/>
      <c r="GI24" s="442"/>
      <c r="GJ24" s="442"/>
      <c r="GK24" s="442"/>
      <c r="GL24" s="442"/>
      <c r="GM24" s="442"/>
      <c r="GN24" s="442"/>
      <c r="GO24" s="442"/>
      <c r="GP24" s="442"/>
      <c r="GQ24" s="442"/>
      <c r="GR24" s="442"/>
      <c r="GS24" s="442"/>
      <c r="GT24" s="442"/>
      <c r="GU24" s="442"/>
      <c r="GV24" s="442"/>
      <c r="GW24" s="442"/>
      <c r="GX24" s="442"/>
      <c r="GY24" s="442"/>
      <c r="GZ24" s="442"/>
      <c r="HA24" s="442"/>
      <c r="HB24" s="442"/>
      <c r="HC24" s="442"/>
      <c r="HD24" s="442"/>
      <c r="HE24" s="442"/>
      <c r="HF24" s="442"/>
      <c r="HG24" s="442"/>
      <c r="HH24" s="442"/>
      <c r="HI24" s="442"/>
      <c r="HJ24" s="442"/>
      <c r="HK24" s="442"/>
      <c r="HL24" s="442"/>
      <c r="HM24" s="442"/>
      <c r="HN24" s="442"/>
      <c r="HO24" s="442"/>
      <c r="HP24" s="442"/>
      <c r="HQ24" s="442"/>
      <c r="HR24" s="442"/>
      <c r="HS24" s="442"/>
      <c r="HT24" s="442"/>
      <c r="HU24" s="442"/>
      <c r="HV24" s="442"/>
      <c r="HW24" s="442"/>
      <c r="HX24" s="442"/>
      <c r="HY24" s="442"/>
      <c r="HZ24" s="442"/>
      <c r="IA24" s="442"/>
      <c r="IB24" s="442"/>
      <c r="IC24" s="442"/>
      <c r="ID24" s="442"/>
      <c r="IE24" s="442"/>
      <c r="IF24" s="442"/>
      <c r="IG24" s="442"/>
      <c r="IH24" s="442"/>
      <c r="II24" s="442"/>
      <c r="IJ24" s="442"/>
      <c r="IK24" s="442"/>
      <c r="IL24" s="442"/>
      <c r="IM24" s="442"/>
      <c r="IN24" s="442"/>
      <c r="IO24" s="442"/>
      <c r="IP24" s="442"/>
      <c r="IQ24" s="442"/>
      <c r="IR24" s="442"/>
      <c r="IS24" s="442"/>
      <c r="IT24" s="442"/>
      <c r="IU24" s="442"/>
    </row>
    <row r="25" spans="1:255" x14ac:dyDescent="0.35">
      <c r="B25" s="116"/>
      <c r="AP25" s="442"/>
      <c r="AQ25" s="442"/>
      <c r="AR25" s="442"/>
      <c r="AS25" s="442"/>
      <c r="AT25" s="442"/>
      <c r="AU25" s="442"/>
      <c r="AV25" s="442"/>
      <c r="AW25" s="442"/>
      <c r="AX25" s="442"/>
      <c r="AY25" s="442"/>
      <c r="AZ25" s="442"/>
      <c r="BA25" s="442"/>
      <c r="BB25" s="442"/>
      <c r="BC25" s="442"/>
      <c r="BD25" s="442"/>
      <c r="BE25" s="442"/>
      <c r="BF25" s="442"/>
      <c r="BG25" s="442"/>
      <c r="BH25" s="442"/>
      <c r="BI25" s="442"/>
      <c r="BJ25" s="442"/>
      <c r="BK25" s="442"/>
      <c r="BL25" s="442"/>
      <c r="BM25" s="442"/>
      <c r="BN25" s="442"/>
      <c r="BO25" s="442"/>
      <c r="BP25" s="442"/>
      <c r="BQ25" s="442"/>
      <c r="BR25" s="442"/>
      <c r="BS25" s="442"/>
      <c r="BT25" s="442"/>
      <c r="BU25" s="442"/>
      <c r="BV25" s="442"/>
      <c r="BW25" s="442"/>
      <c r="BX25" s="442"/>
      <c r="BY25" s="442"/>
      <c r="BZ25" s="442"/>
      <c r="CA25" s="442"/>
      <c r="CB25" s="442"/>
      <c r="CC25" s="442"/>
      <c r="CD25" s="442"/>
      <c r="CE25" s="442"/>
      <c r="CF25" s="442"/>
      <c r="CG25" s="442"/>
      <c r="CH25" s="442"/>
      <c r="CI25" s="442"/>
      <c r="CJ25" s="442"/>
      <c r="CK25" s="442"/>
      <c r="CL25" s="442"/>
      <c r="CM25" s="442"/>
      <c r="CN25" s="442"/>
      <c r="CO25" s="442"/>
      <c r="CP25" s="442"/>
      <c r="CQ25" s="442"/>
      <c r="CR25" s="442"/>
      <c r="CS25" s="442"/>
      <c r="CT25" s="442"/>
      <c r="CU25" s="442"/>
      <c r="CV25" s="442"/>
      <c r="CW25" s="442"/>
      <c r="CX25" s="442"/>
      <c r="CY25" s="442"/>
      <c r="CZ25" s="442"/>
      <c r="DA25" s="442"/>
      <c r="DB25" s="442"/>
      <c r="DC25" s="442"/>
      <c r="DD25" s="442"/>
      <c r="DE25" s="442"/>
      <c r="DF25" s="442"/>
      <c r="DG25" s="442"/>
      <c r="DH25" s="442"/>
      <c r="DI25" s="442"/>
      <c r="DJ25" s="442"/>
      <c r="DK25" s="442"/>
      <c r="DL25" s="442"/>
      <c r="DM25" s="442"/>
      <c r="DN25" s="442"/>
      <c r="DO25" s="442"/>
      <c r="DP25" s="442"/>
      <c r="DQ25" s="442"/>
      <c r="DR25" s="442"/>
      <c r="DS25" s="442"/>
      <c r="DT25" s="442"/>
      <c r="DU25" s="442"/>
      <c r="DV25" s="442"/>
      <c r="DW25" s="442"/>
      <c r="DX25" s="442"/>
      <c r="DY25" s="442"/>
      <c r="DZ25" s="442"/>
      <c r="EA25" s="442"/>
      <c r="EB25" s="442"/>
      <c r="EC25" s="442"/>
      <c r="ED25" s="442"/>
      <c r="EE25" s="442"/>
      <c r="EF25" s="442"/>
      <c r="EG25" s="442"/>
      <c r="EH25" s="442"/>
      <c r="EI25" s="442"/>
      <c r="EJ25" s="442"/>
      <c r="EK25" s="442"/>
      <c r="EL25" s="442"/>
      <c r="EM25" s="442"/>
      <c r="EN25" s="442"/>
      <c r="EO25" s="442"/>
      <c r="EP25" s="442"/>
      <c r="EQ25" s="442"/>
      <c r="ER25" s="442"/>
      <c r="ES25" s="442"/>
      <c r="ET25" s="442"/>
      <c r="EU25" s="442"/>
      <c r="EV25" s="442"/>
      <c r="EW25" s="442"/>
      <c r="EX25" s="442"/>
      <c r="EY25" s="442"/>
      <c r="EZ25" s="442"/>
      <c r="FA25" s="442"/>
      <c r="FB25" s="442"/>
      <c r="FC25" s="442"/>
      <c r="FD25" s="442"/>
      <c r="FE25" s="442"/>
      <c r="FF25" s="442"/>
      <c r="FG25" s="442"/>
      <c r="FH25" s="442"/>
      <c r="FI25" s="442"/>
      <c r="FJ25" s="442"/>
      <c r="FK25" s="442"/>
      <c r="FL25" s="442"/>
      <c r="FM25" s="442"/>
      <c r="FN25" s="442"/>
      <c r="FO25" s="442"/>
      <c r="FP25" s="442"/>
      <c r="FQ25" s="442"/>
      <c r="FR25" s="442"/>
      <c r="FS25" s="442"/>
      <c r="FT25" s="442"/>
      <c r="FU25" s="442"/>
      <c r="FV25" s="442"/>
      <c r="FW25" s="442"/>
      <c r="FX25" s="442"/>
      <c r="FY25" s="442"/>
      <c r="FZ25" s="442"/>
      <c r="GA25" s="442"/>
      <c r="GB25" s="442"/>
      <c r="GC25" s="442"/>
      <c r="GD25" s="442"/>
      <c r="GE25" s="442"/>
      <c r="GF25" s="442"/>
      <c r="GG25" s="442"/>
      <c r="GH25" s="442"/>
      <c r="GI25" s="442"/>
      <c r="GJ25" s="442"/>
      <c r="GK25" s="442"/>
      <c r="GL25" s="442"/>
      <c r="GM25" s="442"/>
      <c r="GN25" s="442"/>
      <c r="GO25" s="442"/>
      <c r="GP25" s="442"/>
      <c r="GQ25" s="442"/>
      <c r="GR25" s="442"/>
      <c r="GS25" s="442"/>
      <c r="GT25" s="442"/>
      <c r="GU25" s="442"/>
      <c r="GV25" s="442"/>
      <c r="GW25" s="442"/>
      <c r="GX25" s="442"/>
      <c r="GY25" s="442"/>
      <c r="GZ25" s="442"/>
      <c r="HA25" s="442"/>
      <c r="HB25" s="442"/>
      <c r="HC25" s="442"/>
      <c r="HD25" s="442"/>
      <c r="HE25" s="442"/>
      <c r="HF25" s="442"/>
      <c r="HG25" s="442"/>
      <c r="HH25" s="442"/>
      <c r="HI25" s="442"/>
      <c r="HJ25" s="442"/>
      <c r="HK25" s="442"/>
      <c r="HL25" s="442"/>
      <c r="HM25" s="442"/>
      <c r="HN25" s="442"/>
      <c r="HO25" s="442"/>
      <c r="HP25" s="442"/>
      <c r="HQ25" s="442"/>
      <c r="HR25" s="442"/>
      <c r="HS25" s="442"/>
      <c r="HT25" s="442"/>
      <c r="HU25" s="442"/>
      <c r="HV25" s="442"/>
      <c r="HW25" s="442"/>
      <c r="HX25" s="442"/>
      <c r="HY25" s="442"/>
      <c r="HZ25" s="442"/>
      <c r="IA25" s="442"/>
      <c r="IB25" s="442"/>
      <c r="IC25" s="442"/>
      <c r="ID25" s="442"/>
      <c r="IE25" s="442"/>
      <c r="IF25" s="442"/>
      <c r="IG25" s="442"/>
      <c r="IH25" s="442"/>
      <c r="II25" s="442"/>
      <c r="IJ25" s="442"/>
      <c r="IK25" s="442"/>
      <c r="IL25" s="442"/>
      <c r="IM25" s="442"/>
      <c r="IN25" s="442"/>
      <c r="IO25" s="442"/>
      <c r="IP25" s="442"/>
      <c r="IQ25" s="442"/>
      <c r="IR25" s="442"/>
      <c r="IS25" s="442"/>
      <c r="IT25" s="442"/>
      <c r="IU25" s="442"/>
    </row>
    <row r="26" spans="1:255" x14ac:dyDescent="0.35">
      <c r="AP26" s="442"/>
      <c r="AQ26" s="442"/>
      <c r="AR26" s="442"/>
      <c r="AS26" s="442"/>
      <c r="AT26" s="442"/>
      <c r="AU26" s="442"/>
      <c r="AV26" s="442"/>
      <c r="AW26" s="442"/>
      <c r="AX26" s="442"/>
      <c r="AY26" s="442"/>
      <c r="AZ26" s="442"/>
      <c r="BA26" s="442"/>
      <c r="BB26" s="442"/>
      <c r="BC26" s="442"/>
      <c r="BD26" s="442"/>
      <c r="BE26" s="442"/>
      <c r="BF26" s="442"/>
      <c r="BG26" s="442"/>
      <c r="BH26" s="442"/>
      <c r="BI26" s="442"/>
      <c r="BJ26" s="442"/>
      <c r="BK26" s="442"/>
      <c r="BL26" s="442"/>
      <c r="BM26" s="442"/>
      <c r="BN26" s="442"/>
      <c r="BO26" s="442"/>
      <c r="BP26" s="442"/>
      <c r="BQ26" s="442"/>
      <c r="BR26" s="442"/>
      <c r="BS26" s="442"/>
      <c r="BT26" s="442"/>
      <c r="BU26" s="442"/>
      <c r="BV26" s="442"/>
      <c r="BW26" s="442"/>
      <c r="BX26" s="442"/>
      <c r="BY26" s="442"/>
      <c r="BZ26" s="442"/>
      <c r="CA26" s="442"/>
      <c r="CB26" s="442"/>
      <c r="CC26" s="442"/>
      <c r="CD26" s="442"/>
      <c r="CE26" s="442"/>
      <c r="CF26" s="442"/>
      <c r="CG26" s="442"/>
      <c r="CH26" s="442"/>
      <c r="CI26" s="442"/>
      <c r="CJ26" s="442"/>
      <c r="CK26" s="442"/>
      <c r="CL26" s="442"/>
      <c r="CM26" s="442"/>
      <c r="CN26" s="442"/>
      <c r="CO26" s="442"/>
      <c r="CP26" s="442"/>
      <c r="CQ26" s="442"/>
      <c r="CR26" s="442"/>
      <c r="CS26" s="442"/>
      <c r="CT26" s="442"/>
      <c r="CU26" s="442"/>
      <c r="CV26" s="442"/>
      <c r="CW26" s="442"/>
      <c r="CX26" s="442"/>
      <c r="CY26" s="442"/>
      <c r="CZ26" s="442"/>
      <c r="DA26" s="442"/>
      <c r="DB26" s="442"/>
      <c r="DC26" s="442"/>
      <c r="DD26" s="442"/>
      <c r="DE26" s="442"/>
      <c r="DF26" s="442"/>
      <c r="DG26" s="442"/>
      <c r="DH26" s="442"/>
      <c r="DI26" s="442"/>
      <c r="DJ26" s="442"/>
      <c r="DK26" s="442"/>
      <c r="DL26" s="442"/>
      <c r="DM26" s="442"/>
      <c r="DN26" s="442"/>
      <c r="DO26" s="442"/>
      <c r="DP26" s="442"/>
      <c r="DQ26" s="442"/>
      <c r="DR26" s="442"/>
      <c r="DS26" s="442"/>
      <c r="DT26" s="442"/>
      <c r="DU26" s="442"/>
      <c r="DV26" s="442"/>
      <c r="DW26" s="442"/>
      <c r="DX26" s="442"/>
      <c r="DY26" s="442"/>
      <c r="DZ26" s="442"/>
      <c r="EA26" s="442"/>
      <c r="EB26" s="442"/>
      <c r="EC26" s="442"/>
      <c r="ED26" s="442"/>
      <c r="EE26" s="442"/>
      <c r="EF26" s="442"/>
      <c r="EG26" s="442"/>
      <c r="EH26" s="442"/>
      <c r="EI26" s="442"/>
      <c r="EJ26" s="442"/>
      <c r="EK26" s="442"/>
      <c r="EL26" s="442"/>
      <c r="EM26" s="442"/>
      <c r="EN26" s="442"/>
      <c r="EO26" s="442"/>
      <c r="EP26" s="442"/>
      <c r="EQ26" s="442"/>
      <c r="ER26" s="442"/>
      <c r="ES26" s="442"/>
      <c r="ET26" s="442"/>
      <c r="EU26" s="442"/>
      <c r="EV26" s="442"/>
      <c r="EW26" s="442"/>
      <c r="EX26" s="442"/>
      <c r="EY26" s="442"/>
      <c r="EZ26" s="442"/>
      <c r="FA26" s="442"/>
      <c r="FB26" s="442"/>
      <c r="FC26" s="442"/>
      <c r="FD26" s="442"/>
      <c r="FE26" s="442"/>
      <c r="FF26" s="442"/>
      <c r="FG26" s="442"/>
      <c r="FH26" s="442"/>
      <c r="FI26" s="442"/>
      <c r="FJ26" s="442"/>
      <c r="FK26" s="442"/>
      <c r="FL26" s="442"/>
      <c r="FM26" s="442"/>
      <c r="FN26" s="442"/>
      <c r="FO26" s="442"/>
      <c r="FP26" s="442"/>
      <c r="FQ26" s="442"/>
      <c r="FR26" s="442"/>
      <c r="FS26" s="442"/>
      <c r="FT26" s="442"/>
      <c r="FU26" s="442"/>
      <c r="FV26" s="442"/>
      <c r="FW26" s="442"/>
      <c r="FX26" s="442"/>
      <c r="FY26" s="442"/>
      <c r="FZ26" s="442"/>
      <c r="GA26" s="442"/>
      <c r="GB26" s="442"/>
      <c r="GC26" s="442"/>
      <c r="GD26" s="442"/>
      <c r="GE26" s="442"/>
      <c r="GF26" s="442"/>
      <c r="GG26" s="442"/>
      <c r="GH26" s="442"/>
      <c r="GI26" s="442"/>
      <c r="GJ26" s="442"/>
      <c r="GK26" s="442"/>
      <c r="GL26" s="442"/>
      <c r="GM26" s="442"/>
      <c r="GN26" s="442"/>
      <c r="GO26" s="442"/>
      <c r="GP26" s="442"/>
      <c r="GQ26" s="442"/>
      <c r="GR26" s="442"/>
      <c r="GS26" s="442"/>
      <c r="GT26" s="442"/>
      <c r="GU26" s="442"/>
      <c r="GV26" s="442"/>
      <c r="GW26" s="442"/>
      <c r="GX26" s="442"/>
      <c r="GY26" s="442"/>
      <c r="GZ26" s="442"/>
      <c r="HA26" s="442"/>
      <c r="HB26" s="442"/>
      <c r="HC26" s="442"/>
      <c r="HD26" s="442"/>
      <c r="HE26" s="442"/>
      <c r="HF26" s="442"/>
      <c r="HG26" s="442"/>
      <c r="HH26" s="442"/>
      <c r="HI26" s="442"/>
      <c r="HJ26" s="442"/>
      <c r="HK26" s="442"/>
      <c r="HL26" s="442"/>
      <c r="HM26" s="442"/>
      <c r="HN26" s="442"/>
      <c r="HO26" s="442"/>
      <c r="HP26" s="442"/>
      <c r="HQ26" s="442"/>
      <c r="HR26" s="442"/>
      <c r="HS26" s="442"/>
      <c r="HT26" s="442"/>
      <c r="HU26" s="442"/>
      <c r="HV26" s="442"/>
      <c r="HW26" s="442"/>
      <c r="HX26" s="442"/>
      <c r="HY26" s="442"/>
      <c r="HZ26" s="442"/>
      <c r="IA26" s="442"/>
      <c r="IB26" s="442"/>
      <c r="IC26" s="442"/>
      <c r="ID26" s="442"/>
      <c r="IE26" s="442"/>
      <c r="IF26" s="442"/>
      <c r="IG26" s="442"/>
      <c r="IH26" s="442"/>
      <c r="II26" s="442"/>
      <c r="IJ26" s="442"/>
      <c r="IK26" s="442"/>
      <c r="IL26" s="442"/>
      <c r="IM26" s="442"/>
      <c r="IN26" s="442"/>
      <c r="IO26" s="442"/>
      <c r="IP26" s="442"/>
      <c r="IQ26" s="442"/>
      <c r="IR26" s="442"/>
      <c r="IS26" s="442"/>
      <c r="IT26" s="442"/>
      <c r="IU26" s="442"/>
    </row>
  </sheetData>
  <autoFilter ref="A14:A15"/>
  <mergeCells count="36">
    <mergeCell ref="B8:AN8"/>
    <mergeCell ref="B1:D1"/>
    <mergeCell ref="AK1:AN1"/>
    <mergeCell ref="B2:D2"/>
    <mergeCell ref="AF2:AN2"/>
    <mergeCell ref="B3:D3"/>
    <mergeCell ref="AF3:AN3"/>
    <mergeCell ref="B4:D4"/>
    <mergeCell ref="AF4:AN4"/>
    <mergeCell ref="B5:D5"/>
    <mergeCell ref="AF5:AN5"/>
    <mergeCell ref="B7:AN7"/>
    <mergeCell ref="R13:S13"/>
    <mergeCell ref="B9:AN9"/>
    <mergeCell ref="B10:AN10"/>
    <mergeCell ref="B11:AN11"/>
    <mergeCell ref="B12:AN12"/>
    <mergeCell ref="B13:B14"/>
    <mergeCell ref="C13:C14"/>
    <mergeCell ref="D13:D14"/>
    <mergeCell ref="E13:E14"/>
    <mergeCell ref="F13:F14"/>
    <mergeCell ref="G13:G14"/>
    <mergeCell ref="H13:I13"/>
    <mergeCell ref="J13:K13"/>
    <mergeCell ref="L13:M13"/>
    <mergeCell ref="N13:O13"/>
    <mergeCell ref="P13:Q13"/>
    <mergeCell ref="AJ13:AJ14"/>
    <mergeCell ref="AK13:AN13"/>
    <mergeCell ref="T13:AC13"/>
    <mergeCell ref="AD13:AD14"/>
    <mergeCell ref="AE13:AF13"/>
    <mergeCell ref="AG13:AG14"/>
    <mergeCell ref="AH13:AH14"/>
    <mergeCell ref="AI13:AI14"/>
  </mergeCells>
  <pageMargins left="0.7" right="0.7" top="0.75" bottom="0.75" header="0.3" footer="0.3"/>
  <pageSetup paperSize="9" orientation="portrait" verticalDpi="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V55"/>
  <sheetViews>
    <sheetView topLeftCell="A25" workbookViewId="0">
      <selection activeCell="AD32" sqref="AD32:AE32"/>
    </sheetView>
  </sheetViews>
  <sheetFormatPr defaultRowHeight="14.5" x14ac:dyDescent="0.35"/>
  <cols>
    <col min="1" max="1" width="6.81640625" style="116" bestFit="1" customWidth="1"/>
    <col min="2" max="2" width="3.453125" customWidth="1"/>
    <col min="3" max="3" width="15.7265625" customWidth="1"/>
    <col min="6" max="6" width="4.26953125" customWidth="1"/>
    <col min="7" max="7" width="17.7265625" customWidth="1"/>
    <col min="8" max="8" width="3.26953125" customWidth="1"/>
    <col min="9" max="9" width="9.453125" customWidth="1"/>
    <col min="10" max="10" width="4.1796875" customWidth="1"/>
    <col min="11" max="11" width="9" customWidth="1"/>
    <col min="12" max="12" width="3.453125" customWidth="1"/>
    <col min="13" max="13" width="9.54296875" customWidth="1"/>
    <col min="14" max="14" width="3.7265625" customWidth="1"/>
    <col min="15" max="15" width="9" customWidth="1"/>
    <col min="16" max="16" width="3.81640625" customWidth="1"/>
    <col min="17" max="17" width="7.1796875" customWidth="1"/>
    <col min="18" max="18" width="3.453125" customWidth="1"/>
    <col min="19" max="19" width="10.453125" customWidth="1"/>
    <col min="20" max="21" width="7.54296875" customWidth="1"/>
    <col min="22" max="22" width="4.81640625" customWidth="1"/>
    <col min="23" max="23" width="5.81640625" customWidth="1"/>
    <col min="24" max="24" width="4" customWidth="1"/>
    <col min="25" max="25" width="4.26953125" customWidth="1"/>
    <col min="26" max="27" width="3.453125" customWidth="1"/>
    <col min="28" max="28" width="7.1796875" customWidth="1"/>
    <col min="29" max="29" width="8.54296875" customWidth="1"/>
    <col min="30" max="30" width="11.7265625" customWidth="1"/>
    <col min="31" max="31" width="8.7265625" customWidth="1"/>
    <col min="32" max="32" width="4.7265625" customWidth="1"/>
    <col min="33" max="33" width="9.26953125" customWidth="1"/>
    <col min="34" max="35" width="8.54296875" customWidth="1"/>
    <col min="36" max="36" width="7.1796875" customWidth="1"/>
    <col min="37" max="37" width="11.7265625" style="188" customWidth="1"/>
    <col min="38" max="38" width="9.26953125" customWidth="1"/>
    <col min="39" max="39" width="10" customWidth="1"/>
    <col min="40" max="40" width="15.81640625" bestFit="1" customWidth="1"/>
  </cols>
  <sheetData>
    <row r="1" spans="1:40" ht="12" customHeight="1" x14ac:dyDescent="0.35">
      <c r="B1" s="739"/>
      <c r="C1" s="739"/>
      <c r="D1" s="739"/>
      <c r="E1" s="739"/>
      <c r="F1" s="739"/>
      <c r="G1" s="136"/>
      <c r="H1" s="78"/>
      <c r="I1" s="78"/>
      <c r="J1" s="78"/>
      <c r="K1" s="78"/>
      <c r="L1" s="78"/>
      <c r="M1" s="78"/>
      <c r="N1" s="78"/>
      <c r="O1" s="78"/>
      <c r="P1" s="78"/>
      <c r="Q1" s="78"/>
      <c r="R1" s="78"/>
      <c r="S1" s="78"/>
      <c r="T1" s="78"/>
      <c r="U1" s="78"/>
      <c r="V1" s="78"/>
      <c r="W1" s="78"/>
      <c r="X1" s="78"/>
      <c r="Y1" s="78"/>
      <c r="Z1" s="78"/>
      <c r="AA1" s="78"/>
      <c r="AB1" s="78"/>
      <c r="AC1" s="78"/>
      <c r="AD1" s="78"/>
      <c r="AE1" s="78"/>
      <c r="AF1" s="78"/>
      <c r="AG1" s="78"/>
      <c r="AH1" s="78"/>
      <c r="AI1" s="78"/>
      <c r="AJ1" s="78"/>
      <c r="AK1" s="740" t="s">
        <v>238</v>
      </c>
      <c r="AL1" s="740"/>
      <c r="AM1" s="740"/>
    </row>
    <row r="2" spans="1:40" x14ac:dyDescent="0.35">
      <c r="A2" s="271"/>
      <c r="B2" s="761" t="s">
        <v>232</v>
      </c>
      <c r="C2" s="761"/>
      <c r="D2" s="761"/>
      <c r="E2" s="761"/>
      <c r="F2" s="761"/>
      <c r="G2" s="272"/>
      <c r="H2" s="273"/>
      <c r="I2" s="273"/>
      <c r="J2" s="273"/>
      <c r="K2" s="273"/>
      <c r="L2" s="273"/>
      <c r="M2" s="273"/>
      <c r="N2" s="273"/>
      <c r="O2" s="273"/>
      <c r="P2" s="273"/>
      <c r="Q2" s="273"/>
      <c r="R2" s="273"/>
      <c r="S2" s="273"/>
      <c r="T2" s="273"/>
      <c r="U2" s="273"/>
      <c r="V2" s="273"/>
      <c r="W2" s="273"/>
      <c r="X2" s="273"/>
      <c r="Y2" s="273"/>
      <c r="Z2" s="273"/>
      <c r="AA2" s="273"/>
      <c r="AB2" s="273"/>
      <c r="AC2" s="273"/>
      <c r="AD2" s="763" t="s">
        <v>383</v>
      </c>
      <c r="AE2" s="763"/>
      <c r="AF2" s="763"/>
      <c r="AG2" s="763"/>
      <c r="AH2" s="763"/>
      <c r="AI2" s="763"/>
      <c r="AJ2" s="763"/>
      <c r="AK2" s="763"/>
      <c r="AL2" s="763"/>
      <c r="AM2" s="763"/>
    </row>
    <row r="3" spans="1:40" x14ac:dyDescent="0.35">
      <c r="A3" s="271"/>
      <c r="B3" s="764" t="s">
        <v>657</v>
      </c>
      <c r="C3" s="764"/>
      <c r="D3" s="764"/>
      <c r="E3" s="764"/>
      <c r="F3" s="764"/>
      <c r="G3" s="272"/>
      <c r="H3" s="273"/>
      <c r="I3" s="273"/>
      <c r="J3" s="273"/>
      <c r="K3" s="273"/>
      <c r="L3" s="273"/>
      <c r="M3" s="273"/>
      <c r="N3" s="273"/>
      <c r="O3" s="273"/>
      <c r="P3" s="273"/>
      <c r="Q3" s="273"/>
      <c r="R3" s="273"/>
      <c r="S3" s="273"/>
      <c r="T3" s="273"/>
      <c r="U3" s="273"/>
      <c r="V3" s="273"/>
      <c r="W3" s="273"/>
      <c r="X3" s="273"/>
      <c r="Y3" s="273"/>
      <c r="Z3" s="273"/>
      <c r="AA3" s="273"/>
      <c r="AB3" s="273"/>
      <c r="AC3" s="273"/>
      <c r="AD3" s="764" t="s">
        <v>384</v>
      </c>
      <c r="AE3" s="764"/>
      <c r="AF3" s="764"/>
      <c r="AG3" s="764"/>
      <c r="AH3" s="764"/>
      <c r="AI3" s="764"/>
      <c r="AJ3" s="764"/>
      <c r="AK3" s="764"/>
      <c r="AL3" s="764"/>
      <c r="AM3" s="764"/>
    </row>
    <row r="4" spans="1:40" hidden="1" x14ac:dyDescent="0.35">
      <c r="A4" s="271"/>
      <c r="B4" s="763" t="s">
        <v>328</v>
      </c>
      <c r="C4" s="763"/>
      <c r="D4" s="763"/>
      <c r="E4" s="763"/>
      <c r="F4" s="763"/>
      <c r="G4" s="272"/>
      <c r="H4" s="273"/>
      <c r="I4" s="273"/>
      <c r="J4" s="273"/>
      <c r="K4" s="273"/>
      <c r="L4" s="273"/>
      <c r="M4" s="273"/>
      <c r="N4" s="273"/>
      <c r="O4" s="273"/>
      <c r="P4" s="273"/>
      <c r="Q4" s="273"/>
      <c r="R4" s="273"/>
      <c r="S4" s="273"/>
      <c r="T4" s="273"/>
      <c r="U4" s="273"/>
      <c r="V4" s="273"/>
      <c r="W4" s="273"/>
      <c r="X4" s="273"/>
      <c r="Y4" s="273"/>
      <c r="Z4" s="273"/>
      <c r="AA4" s="273"/>
      <c r="AB4" s="273"/>
      <c r="AC4" s="273"/>
      <c r="AD4" s="763" t="s">
        <v>383</v>
      </c>
      <c r="AE4" s="763"/>
      <c r="AF4" s="763"/>
      <c r="AG4" s="763"/>
      <c r="AH4" s="763"/>
      <c r="AI4" s="763"/>
      <c r="AJ4" s="763"/>
      <c r="AK4" s="763"/>
      <c r="AL4" s="763"/>
      <c r="AM4" s="763"/>
    </row>
    <row r="5" spans="1:40" hidden="1" x14ac:dyDescent="0.35">
      <c r="A5" s="271"/>
      <c r="B5" s="764" t="s">
        <v>135</v>
      </c>
      <c r="C5" s="764"/>
      <c r="D5" s="764"/>
      <c r="E5" s="764"/>
      <c r="F5" s="764"/>
      <c r="G5" s="272"/>
      <c r="H5" s="273"/>
      <c r="I5" s="273"/>
      <c r="J5" s="273"/>
      <c r="K5" s="273"/>
      <c r="L5" s="273"/>
      <c r="M5" s="273"/>
      <c r="N5" s="273"/>
      <c r="O5" s="273"/>
      <c r="P5" s="273"/>
      <c r="Q5" s="273"/>
      <c r="R5" s="273"/>
      <c r="S5" s="273"/>
      <c r="T5" s="273"/>
      <c r="U5" s="273"/>
      <c r="V5" s="273"/>
      <c r="W5" s="273"/>
      <c r="X5" s="273"/>
      <c r="Y5" s="273"/>
      <c r="Z5" s="273"/>
      <c r="AA5" s="273"/>
      <c r="AB5" s="273"/>
      <c r="AC5" s="273"/>
      <c r="AD5" s="764" t="s">
        <v>384</v>
      </c>
      <c r="AE5" s="764"/>
      <c r="AF5" s="764"/>
      <c r="AG5" s="764"/>
      <c r="AH5" s="764"/>
      <c r="AI5" s="764"/>
      <c r="AJ5" s="764"/>
      <c r="AK5" s="764"/>
      <c r="AL5" s="764"/>
      <c r="AM5" s="764"/>
    </row>
    <row r="6" spans="1:40" ht="12" customHeight="1" x14ac:dyDescent="0.35">
      <c r="B6" s="181"/>
      <c r="C6" s="181"/>
      <c r="D6" s="181"/>
      <c r="E6" s="181"/>
      <c r="F6" s="181"/>
      <c r="G6" s="136"/>
      <c r="H6" s="78"/>
      <c r="I6" s="78"/>
      <c r="J6" s="78"/>
      <c r="K6" s="78"/>
      <c r="L6" s="78"/>
      <c r="M6" s="78"/>
      <c r="N6" s="78"/>
      <c r="O6" s="78"/>
      <c r="P6" s="78"/>
      <c r="Q6" s="78"/>
      <c r="R6" s="78"/>
      <c r="S6" s="78"/>
      <c r="T6" s="78"/>
      <c r="U6" s="78"/>
      <c r="V6" s="78"/>
      <c r="W6" s="78"/>
      <c r="X6" s="78"/>
      <c r="Y6" s="78"/>
      <c r="Z6" s="78"/>
      <c r="AA6" s="78"/>
      <c r="AB6" s="78"/>
      <c r="AC6" s="78"/>
      <c r="AD6" s="181"/>
      <c r="AE6" s="181"/>
      <c r="AF6" s="181"/>
      <c r="AG6" s="181"/>
      <c r="AH6" s="181"/>
      <c r="AI6" s="181"/>
      <c r="AJ6" s="181"/>
      <c r="AK6" s="181"/>
      <c r="AL6" s="181"/>
      <c r="AM6" s="181"/>
    </row>
    <row r="7" spans="1:40" s="127" customFormat="1" ht="19.5" customHeight="1" x14ac:dyDescent="0.35">
      <c r="A7" s="116"/>
      <c r="B7" s="693" t="s">
        <v>662</v>
      </c>
      <c r="C7" s="693"/>
      <c r="D7" s="693"/>
      <c r="E7" s="693"/>
      <c r="F7" s="693"/>
      <c r="G7" s="693"/>
      <c r="H7" s="693"/>
      <c r="I7" s="693"/>
      <c r="J7" s="693"/>
      <c r="K7" s="693"/>
      <c r="L7" s="693"/>
      <c r="M7" s="693"/>
      <c r="N7" s="693"/>
      <c r="O7" s="693"/>
      <c r="P7" s="693"/>
      <c r="Q7" s="693"/>
      <c r="R7" s="693"/>
      <c r="S7" s="693"/>
      <c r="T7" s="693"/>
      <c r="U7" s="693"/>
      <c r="V7" s="693"/>
      <c r="W7" s="693"/>
      <c r="X7" s="693"/>
      <c r="Y7" s="693"/>
      <c r="Z7" s="693"/>
      <c r="AA7" s="693"/>
      <c r="AB7" s="693"/>
      <c r="AC7" s="693"/>
      <c r="AD7" s="693"/>
      <c r="AE7" s="693"/>
      <c r="AF7" s="693"/>
      <c r="AG7" s="693"/>
      <c r="AH7" s="693"/>
      <c r="AI7" s="693"/>
      <c r="AJ7" s="693"/>
      <c r="AK7" s="693"/>
      <c r="AL7" s="693"/>
      <c r="AM7" s="693"/>
    </row>
    <row r="8" spans="1:40" s="127" customFormat="1" ht="19.5" customHeight="1" x14ac:dyDescent="0.35">
      <c r="A8" s="270"/>
      <c r="B8" s="701" t="s">
        <v>656</v>
      </c>
      <c r="C8" s="701"/>
      <c r="D8" s="701"/>
      <c r="E8" s="701"/>
      <c r="F8" s="701"/>
      <c r="G8" s="701"/>
      <c r="H8" s="701"/>
      <c r="I8" s="701"/>
      <c r="J8" s="701"/>
      <c r="K8" s="701"/>
      <c r="L8" s="701"/>
      <c r="M8" s="701"/>
      <c r="N8" s="701"/>
      <c r="O8" s="701"/>
      <c r="P8" s="701"/>
      <c r="Q8" s="701"/>
      <c r="R8" s="701"/>
      <c r="S8" s="701"/>
      <c r="T8" s="701"/>
      <c r="U8" s="701"/>
      <c r="V8" s="701"/>
      <c r="W8" s="701"/>
      <c r="X8" s="701"/>
      <c r="Y8" s="701"/>
      <c r="Z8" s="701"/>
      <c r="AA8" s="701"/>
      <c r="AB8" s="701"/>
      <c r="AC8" s="701"/>
      <c r="AD8" s="701"/>
      <c r="AE8" s="701"/>
      <c r="AF8" s="701"/>
      <c r="AG8" s="701"/>
      <c r="AH8" s="701"/>
      <c r="AI8" s="701"/>
      <c r="AJ8" s="701"/>
      <c r="AK8" s="701"/>
      <c r="AL8" s="701"/>
      <c r="AM8" s="701"/>
    </row>
    <row r="9" spans="1:40" s="218" customFormat="1" ht="15.5" x14ac:dyDescent="0.35">
      <c r="A9" s="270"/>
      <c r="B9" s="701" t="s">
        <v>660</v>
      </c>
      <c r="C9" s="701"/>
      <c r="D9" s="701"/>
      <c r="E9" s="701"/>
      <c r="F9" s="701"/>
      <c r="G9" s="701"/>
      <c r="H9" s="701"/>
      <c r="I9" s="701"/>
      <c r="J9" s="701"/>
      <c r="K9" s="701"/>
      <c r="L9" s="701"/>
      <c r="M9" s="701"/>
      <c r="N9" s="701"/>
      <c r="O9" s="701"/>
      <c r="P9" s="701"/>
      <c r="Q9" s="701"/>
      <c r="R9" s="701"/>
      <c r="S9" s="701"/>
      <c r="T9" s="701"/>
      <c r="U9" s="701"/>
      <c r="V9" s="701"/>
      <c r="W9" s="701"/>
      <c r="X9" s="701"/>
      <c r="Y9" s="701"/>
      <c r="Z9" s="701"/>
      <c r="AA9" s="701"/>
      <c r="AB9" s="701"/>
      <c r="AC9" s="701"/>
      <c r="AD9" s="701"/>
      <c r="AE9" s="701"/>
      <c r="AF9" s="701"/>
      <c r="AG9" s="701"/>
      <c r="AH9" s="701"/>
      <c r="AI9" s="701"/>
      <c r="AJ9" s="701"/>
      <c r="AK9" s="701"/>
      <c r="AL9" s="701"/>
      <c r="AM9" s="701"/>
      <c r="AN9" s="701"/>
    </row>
    <row r="10" spans="1:40" s="218" customFormat="1" ht="15.5" hidden="1" x14ac:dyDescent="0.35">
      <c r="A10" s="270"/>
      <c r="B10" s="701" t="s">
        <v>661</v>
      </c>
      <c r="C10" s="701"/>
      <c r="D10" s="701"/>
      <c r="E10" s="701"/>
      <c r="F10" s="701"/>
      <c r="G10" s="701"/>
      <c r="H10" s="701"/>
      <c r="I10" s="701"/>
      <c r="J10" s="701"/>
      <c r="K10" s="701"/>
      <c r="L10" s="701"/>
      <c r="M10" s="701"/>
      <c r="N10" s="701"/>
      <c r="O10" s="701"/>
      <c r="P10" s="701"/>
      <c r="Q10" s="701"/>
      <c r="R10" s="701"/>
      <c r="S10" s="701"/>
      <c r="T10" s="701"/>
      <c r="U10" s="701"/>
      <c r="V10" s="701"/>
      <c r="W10" s="701"/>
      <c r="X10" s="701"/>
      <c r="Y10" s="701"/>
      <c r="Z10" s="701"/>
      <c r="AA10" s="701"/>
      <c r="AB10" s="701"/>
      <c r="AC10" s="701"/>
      <c r="AD10" s="701"/>
      <c r="AE10" s="701"/>
      <c r="AF10" s="701"/>
      <c r="AG10" s="701"/>
      <c r="AH10" s="701"/>
      <c r="AI10" s="701"/>
      <c r="AJ10" s="701"/>
      <c r="AK10" s="701"/>
      <c r="AL10" s="701"/>
      <c r="AM10" s="701"/>
      <c r="AN10" s="701"/>
    </row>
    <row r="11" spans="1:40" s="218" customFormat="1" ht="20.25" customHeight="1" x14ac:dyDescent="0.35">
      <c r="A11" s="270"/>
      <c r="B11" s="701"/>
      <c r="C11" s="701"/>
      <c r="D11" s="701"/>
      <c r="E11" s="701"/>
      <c r="F11" s="701"/>
      <c r="G11" s="701"/>
      <c r="H11" s="701"/>
      <c r="I11" s="701"/>
      <c r="J11" s="701"/>
      <c r="K11" s="701"/>
      <c r="L11" s="701"/>
      <c r="M11" s="701"/>
      <c r="N11" s="701"/>
      <c r="O11" s="701"/>
      <c r="P11" s="701"/>
      <c r="Q11" s="701"/>
      <c r="R11" s="701"/>
      <c r="S11" s="701"/>
      <c r="T11" s="701"/>
      <c r="U11" s="701"/>
      <c r="V11" s="701"/>
      <c r="W11" s="701"/>
      <c r="X11" s="701"/>
      <c r="Y11" s="701"/>
      <c r="Z11" s="701"/>
      <c r="AA11" s="701"/>
      <c r="AB11" s="701"/>
      <c r="AC11" s="701"/>
      <c r="AD11" s="701"/>
      <c r="AE11" s="701"/>
      <c r="AF11" s="701"/>
      <c r="AG11" s="701"/>
      <c r="AH11" s="701"/>
      <c r="AI11" s="701"/>
      <c r="AJ11" s="701"/>
      <c r="AK11" s="701"/>
      <c r="AL11" s="701"/>
      <c r="AM11" s="701"/>
      <c r="AN11" s="701"/>
    </row>
    <row r="12" spans="1:40" s="218" customFormat="1" ht="16" thickBot="1" x14ac:dyDescent="0.4">
      <c r="A12" s="270"/>
      <c r="B12" s="283"/>
      <c r="C12" s="283"/>
      <c r="D12" s="283"/>
      <c r="E12" s="283"/>
      <c r="F12" s="283"/>
      <c r="G12" s="283"/>
      <c r="H12" s="283"/>
      <c r="I12" s="283"/>
      <c r="J12" s="283"/>
      <c r="K12" s="283"/>
      <c r="L12" s="283"/>
      <c r="M12" s="283"/>
      <c r="N12" s="283"/>
      <c r="O12" s="283"/>
      <c r="P12" s="283"/>
      <c r="Q12" s="283"/>
      <c r="R12" s="283"/>
      <c r="S12" s="283"/>
      <c r="T12" s="283"/>
      <c r="U12" s="283"/>
      <c r="V12" s="283"/>
      <c r="W12" s="283"/>
      <c r="X12" s="283"/>
      <c r="Y12" s="283"/>
      <c r="Z12" s="283"/>
      <c r="AA12" s="283"/>
      <c r="AB12" s="283"/>
      <c r="AC12" s="283"/>
      <c r="AD12" s="283"/>
      <c r="AE12" s="283"/>
      <c r="AF12" s="283"/>
      <c r="AG12" s="283"/>
      <c r="AH12" s="283"/>
      <c r="AI12" s="283"/>
      <c r="AJ12" s="283"/>
      <c r="AK12" s="283"/>
      <c r="AL12" s="283"/>
      <c r="AM12" s="283"/>
      <c r="AN12" s="283"/>
    </row>
    <row r="13" spans="1:40" ht="25.5" customHeight="1" x14ac:dyDescent="0.35">
      <c r="B13" s="737" t="s">
        <v>3</v>
      </c>
      <c r="C13" s="733" t="s">
        <v>4</v>
      </c>
      <c r="D13" s="733" t="s">
        <v>5</v>
      </c>
      <c r="E13" s="284"/>
      <c r="F13" s="731" t="s">
        <v>6</v>
      </c>
      <c r="G13" s="733" t="s">
        <v>7</v>
      </c>
      <c r="H13" s="735" t="s">
        <v>8</v>
      </c>
      <c r="I13" s="735"/>
      <c r="J13" s="735" t="s">
        <v>175</v>
      </c>
      <c r="K13" s="735"/>
      <c r="L13" s="735" t="s">
        <v>176</v>
      </c>
      <c r="M13" s="735"/>
      <c r="N13" s="735" t="s">
        <v>177</v>
      </c>
      <c r="O13" s="735"/>
      <c r="P13" s="735" t="s">
        <v>178</v>
      </c>
      <c r="Q13" s="735"/>
      <c r="R13" s="735" t="s">
        <v>13</v>
      </c>
      <c r="S13" s="735"/>
      <c r="T13" s="751" t="s">
        <v>83</v>
      </c>
      <c r="U13" s="751"/>
      <c r="V13" s="751"/>
      <c r="W13" s="751"/>
      <c r="X13" s="751"/>
      <c r="Y13" s="751"/>
      <c r="Z13" s="751"/>
      <c r="AA13" s="751"/>
      <c r="AB13" s="751"/>
      <c r="AC13" s="751"/>
      <c r="AD13" s="735" t="s">
        <v>98</v>
      </c>
      <c r="AE13" s="735" t="s">
        <v>99</v>
      </c>
      <c r="AF13" s="735" t="s">
        <v>14</v>
      </c>
      <c r="AG13" s="735"/>
      <c r="AH13" s="735" t="s">
        <v>15</v>
      </c>
      <c r="AI13" s="784"/>
      <c r="AJ13" s="735" t="s">
        <v>16</v>
      </c>
      <c r="AK13" s="735" t="s">
        <v>95</v>
      </c>
      <c r="AL13" s="735"/>
      <c r="AM13" s="735"/>
    </row>
    <row r="14" spans="1:40" ht="65.25" customHeight="1" x14ac:dyDescent="0.35">
      <c r="B14" s="749"/>
      <c r="C14" s="709"/>
      <c r="D14" s="709"/>
      <c r="E14" s="285"/>
      <c r="F14" s="750"/>
      <c r="G14" s="709"/>
      <c r="H14" s="184" t="s">
        <v>18</v>
      </c>
      <c r="I14" s="185" t="s">
        <v>19</v>
      </c>
      <c r="J14" s="185" t="s">
        <v>20</v>
      </c>
      <c r="K14" s="185" t="s">
        <v>19</v>
      </c>
      <c r="L14" s="184" t="s">
        <v>21</v>
      </c>
      <c r="M14" s="185" t="s">
        <v>19</v>
      </c>
      <c r="N14" s="184" t="s">
        <v>21</v>
      </c>
      <c r="O14" s="185" t="s">
        <v>19</v>
      </c>
      <c r="P14" s="185" t="s">
        <v>20</v>
      </c>
      <c r="Q14" s="185" t="s">
        <v>19</v>
      </c>
      <c r="R14" s="185" t="s">
        <v>20</v>
      </c>
      <c r="S14" s="185" t="s">
        <v>19</v>
      </c>
      <c r="T14" s="186" t="s">
        <v>84</v>
      </c>
      <c r="U14" s="186" t="s">
        <v>85</v>
      </c>
      <c r="V14" s="187" t="s">
        <v>86</v>
      </c>
      <c r="W14" s="187" t="s">
        <v>20</v>
      </c>
      <c r="X14" s="187" t="s">
        <v>87</v>
      </c>
      <c r="Y14" s="187" t="s">
        <v>91</v>
      </c>
      <c r="Z14" s="187" t="s">
        <v>92</v>
      </c>
      <c r="AA14" s="187" t="s">
        <v>90</v>
      </c>
      <c r="AB14" s="186" t="s">
        <v>88</v>
      </c>
      <c r="AC14" s="186" t="s">
        <v>89</v>
      </c>
      <c r="AD14" s="700"/>
      <c r="AE14" s="700"/>
      <c r="AF14" s="185" t="s">
        <v>22</v>
      </c>
      <c r="AG14" s="185" t="s">
        <v>23</v>
      </c>
      <c r="AH14" s="700"/>
      <c r="AI14" s="785"/>
      <c r="AJ14" s="700"/>
      <c r="AK14" s="189" t="s">
        <v>24</v>
      </c>
      <c r="AL14" s="185" t="s">
        <v>57</v>
      </c>
      <c r="AM14" s="185" t="s">
        <v>181</v>
      </c>
    </row>
    <row r="15" spans="1:40" ht="24.75" customHeight="1" x14ac:dyDescent="0.35">
      <c r="B15" s="156"/>
      <c r="C15" s="157" t="s">
        <v>28</v>
      </c>
      <c r="D15" s="157">
        <v>1</v>
      </c>
      <c r="E15" s="157"/>
      <c r="F15" s="286">
        <v>2</v>
      </c>
      <c r="G15" s="157">
        <v>3</v>
      </c>
      <c r="H15" s="157">
        <v>4</v>
      </c>
      <c r="I15" s="157">
        <v>5</v>
      </c>
      <c r="J15" s="157">
        <v>6</v>
      </c>
      <c r="K15" s="157">
        <v>7</v>
      </c>
      <c r="L15" s="157">
        <v>8</v>
      </c>
      <c r="M15" s="157">
        <v>9</v>
      </c>
      <c r="N15" s="157">
        <v>10</v>
      </c>
      <c r="O15" s="157">
        <v>11</v>
      </c>
      <c r="P15" s="157">
        <v>12</v>
      </c>
      <c r="Q15" s="157">
        <v>13</v>
      </c>
      <c r="R15" s="157">
        <v>14</v>
      </c>
      <c r="S15" s="157">
        <v>15</v>
      </c>
      <c r="T15" s="157"/>
      <c r="U15" s="157"/>
      <c r="V15" s="157"/>
      <c r="W15" s="157"/>
      <c r="X15" s="157"/>
      <c r="Y15" s="157"/>
      <c r="Z15" s="157"/>
      <c r="AA15" s="157"/>
      <c r="AB15" s="157"/>
      <c r="AC15" s="157"/>
      <c r="AD15" s="157">
        <v>16</v>
      </c>
      <c r="AE15" s="157">
        <v>17</v>
      </c>
      <c r="AF15" s="157">
        <v>18</v>
      </c>
      <c r="AG15" s="157">
        <v>19</v>
      </c>
      <c r="AH15" s="157">
        <v>20</v>
      </c>
      <c r="AI15" s="157"/>
      <c r="AJ15" s="157">
        <v>21</v>
      </c>
      <c r="AK15" s="190">
        <v>22</v>
      </c>
      <c r="AL15" s="157">
        <v>23</v>
      </c>
      <c r="AM15" s="157">
        <v>24</v>
      </c>
    </row>
    <row r="16" spans="1:40" s="174" customFormat="1" ht="10.5" x14ac:dyDescent="0.25">
      <c r="A16" s="116"/>
      <c r="B16" s="169"/>
      <c r="C16" s="287" t="s">
        <v>38</v>
      </c>
      <c r="D16" s="170" t="str">
        <f>COUNTA(G32:G36)&amp;" hồ sơ"</f>
        <v>1 hồ sơ</v>
      </c>
      <c r="E16" s="170"/>
      <c r="F16" s="170"/>
      <c r="G16" s="171"/>
      <c r="H16" s="172"/>
      <c r="I16" s="172"/>
      <c r="J16" s="172"/>
      <c r="K16" s="172"/>
      <c r="L16" s="172"/>
      <c r="M16" s="172"/>
      <c r="N16" s="172"/>
      <c r="O16" s="172"/>
      <c r="P16" s="172"/>
      <c r="Q16" s="172"/>
      <c r="R16" s="172"/>
      <c r="S16" s="172"/>
      <c r="T16" s="172"/>
      <c r="U16" s="172"/>
      <c r="V16" s="172"/>
      <c r="W16" s="172"/>
      <c r="X16" s="172"/>
      <c r="Y16" s="172"/>
      <c r="Z16" s="172"/>
      <c r="AA16" s="172"/>
      <c r="AB16" s="172"/>
      <c r="AC16" s="172"/>
      <c r="AD16" s="172"/>
      <c r="AE16" s="172"/>
      <c r="AF16" s="172"/>
      <c r="AG16" s="172"/>
      <c r="AH16" s="172"/>
      <c r="AI16" s="172"/>
      <c r="AJ16" s="172"/>
      <c r="AK16" s="288" t="e">
        <f>SUM(#REF!,#REF!)</f>
        <v>#REF!</v>
      </c>
      <c r="AL16" s="288" t="e">
        <f>SUM(#REF!,#REF!)</f>
        <v>#REF!</v>
      </c>
      <c r="AM16" s="288" t="e">
        <f>SUM(#REF!,#REF!)</f>
        <v>#REF!</v>
      </c>
    </row>
    <row r="17" spans="1:256" s="174" customFormat="1" x14ac:dyDescent="0.35">
      <c r="A17" s="116" t="s">
        <v>471</v>
      </c>
      <c r="B17" s="96">
        <v>1</v>
      </c>
      <c r="C17" s="445" t="s">
        <v>670</v>
      </c>
      <c r="D17" s="401" t="s">
        <v>697</v>
      </c>
      <c r="E17" s="401">
        <v>26969</v>
      </c>
      <c r="F17" s="99"/>
      <c r="G17" s="214" t="s">
        <v>698</v>
      </c>
      <c r="H17" s="155">
        <v>3.99</v>
      </c>
      <c r="I17" s="139">
        <v>44866</v>
      </c>
      <c r="J17" s="140" t="s">
        <v>699</v>
      </c>
      <c r="K17" s="139" t="s">
        <v>706</v>
      </c>
      <c r="L17" s="264"/>
      <c r="M17" s="262"/>
      <c r="N17" s="264"/>
      <c r="O17" s="262"/>
      <c r="P17" s="154"/>
      <c r="Q17" s="154"/>
      <c r="R17" s="155" t="s">
        <v>700</v>
      </c>
      <c r="S17" s="139" t="s">
        <v>701</v>
      </c>
      <c r="T17" s="98">
        <f>EDATE(AH17,-60)</f>
        <v>43101</v>
      </c>
      <c r="U17" s="98">
        <v>43281</v>
      </c>
      <c r="V17" s="99">
        <f t="shared" ref="V17:V18" si="0">ROUND(DAYS360(T17,U17,0)/30,0)</f>
        <v>6</v>
      </c>
      <c r="W17" s="99">
        <v>3.33</v>
      </c>
      <c r="X17" s="99">
        <v>0.3</v>
      </c>
      <c r="Y17" s="141"/>
      <c r="Z17" s="99"/>
      <c r="AA17" s="100">
        <f t="shared" ref="AA17:AA18" si="1">W17+X17+Y17*W17+(W17+X17+Y17*W17)*Z17</f>
        <v>3.63</v>
      </c>
      <c r="AB17" s="101">
        <v>1300000</v>
      </c>
      <c r="AC17" s="101">
        <f t="shared" ref="AC17:AC18" si="2">V17*AA17*AB17</f>
        <v>28314000</v>
      </c>
      <c r="AD17" s="103">
        <f>AB23*AA23</f>
        <v>5945100</v>
      </c>
      <c r="AE17" s="226">
        <f>AC24/V24</f>
        <v>5453380</v>
      </c>
      <c r="AF17" s="99" t="s">
        <v>528</v>
      </c>
      <c r="AG17" s="99"/>
      <c r="AH17" s="98" t="s">
        <v>696</v>
      </c>
      <c r="AI17" s="98">
        <f>DATE(YEAR(D17),MONTH(D17)+1,1)</f>
        <v>26969</v>
      </c>
      <c r="AJ17" s="99" t="str">
        <f>DATEDIF(AI17,AH17,"y")&amp;"t"&amp;DATEDIF(AI17,AH17,"ym")&amp;"th"</f>
        <v>49t2th</v>
      </c>
      <c r="AK17" s="192">
        <f>SUM(AL17:AM17)</f>
        <v>214156980</v>
      </c>
      <c r="AL17" s="103">
        <f>ROUND(3*AD17,0)</f>
        <v>17835300</v>
      </c>
      <c r="AM17" s="163">
        <f>ROUND((VALUE(LEFT(AF17,2)+IF(LEN(AF17)&lt;4,0,IF(VALUE(MID(AF17,4,LEN(AF17)-4))&gt;6,1,IF(VALUE(MID(AF17,4,LEN(AF17)-4))&gt;2,0.5,0)))))*AE17*1.5,0)</f>
        <v>196321680</v>
      </c>
      <c r="AN17"/>
      <c r="AO17"/>
      <c r="AP17"/>
      <c r="AQ17"/>
      <c r="AR17"/>
      <c r="AS17"/>
      <c r="AT17"/>
      <c r="AU17"/>
      <c r="AV17"/>
      <c r="AW17"/>
      <c r="AX17"/>
      <c r="AY17"/>
      <c r="AZ17"/>
      <c r="BA17"/>
      <c r="BB17"/>
      <c r="BC17"/>
      <c r="BD17"/>
      <c r="BE17"/>
      <c r="BF17"/>
      <c r="BG17"/>
      <c r="BH17"/>
      <c r="BI17"/>
      <c r="BJ17"/>
      <c r="BK17"/>
      <c r="BL17"/>
      <c r="BM17"/>
      <c r="BN17"/>
      <c r="BO17"/>
      <c r="BP17"/>
      <c r="BQ17"/>
      <c r="BR17"/>
      <c r="BS17"/>
      <c r="BT17"/>
      <c r="BU17"/>
      <c r="BV17"/>
      <c r="BW17"/>
      <c r="BX17"/>
      <c r="BY17"/>
      <c r="BZ17"/>
      <c r="CA17"/>
      <c r="CB17"/>
      <c r="CC17"/>
      <c r="CD17"/>
      <c r="CE17"/>
      <c r="CF17"/>
      <c r="CG17"/>
      <c r="CH17"/>
      <c r="CI17"/>
      <c r="CJ17"/>
      <c r="CK17"/>
      <c r="CL17"/>
      <c r="CM17"/>
      <c r="CN17"/>
      <c r="CO17"/>
      <c r="CP17"/>
      <c r="CQ17"/>
      <c r="CR17"/>
      <c r="CS17"/>
      <c r="CT17"/>
      <c r="CU17"/>
      <c r="CV17"/>
      <c r="CW17"/>
      <c r="CX17"/>
      <c r="CY17"/>
      <c r="CZ17"/>
      <c r="DA17"/>
      <c r="DB17"/>
      <c r="DC17"/>
      <c r="DD17"/>
      <c r="DE17"/>
      <c r="DF17"/>
      <c r="DG17"/>
      <c r="DH17"/>
      <c r="DI17"/>
      <c r="DJ17"/>
      <c r="DK17"/>
      <c r="DL17"/>
      <c r="DM17"/>
      <c r="DN17"/>
      <c r="DO17"/>
      <c r="DP17"/>
      <c r="DQ17"/>
      <c r="DR17"/>
      <c r="DS17"/>
      <c r="DT17"/>
      <c r="DU17"/>
      <c r="DV17"/>
      <c r="DW17"/>
      <c r="DX17"/>
      <c r="DY17"/>
      <c r="DZ17"/>
      <c r="EA17"/>
      <c r="EB17"/>
      <c r="EC17"/>
      <c r="ED17"/>
      <c r="EE17"/>
      <c r="EF17"/>
      <c r="EG17"/>
      <c r="EH17"/>
      <c r="EI17"/>
      <c r="EJ17"/>
      <c r="EK17"/>
      <c r="EL17"/>
      <c r="EM17"/>
      <c r="EN17"/>
      <c r="EO17"/>
      <c r="EP17"/>
      <c r="EQ17"/>
      <c r="ER17"/>
      <c r="ES17"/>
      <c r="ET17"/>
      <c r="EU17"/>
      <c r="EV17"/>
      <c r="EW17"/>
      <c r="EX17"/>
      <c r="EY17"/>
      <c r="EZ17"/>
      <c r="FA17"/>
      <c r="FB17"/>
      <c r="FC17"/>
      <c r="FD17"/>
      <c r="FE17"/>
      <c r="FF17"/>
      <c r="FG17"/>
      <c r="FH17"/>
      <c r="FI17"/>
      <c r="FJ17"/>
      <c r="FK17"/>
      <c r="FL17"/>
      <c r="FM17"/>
      <c r="FN17"/>
      <c r="FO17"/>
      <c r="FP17"/>
      <c r="FQ17"/>
      <c r="FR17"/>
      <c r="FS17"/>
      <c r="FT17"/>
      <c r="FU17"/>
      <c r="FV17"/>
      <c r="FW17"/>
      <c r="FX17"/>
      <c r="FY17"/>
      <c r="FZ17"/>
      <c r="GA17"/>
      <c r="GB17"/>
      <c r="GC17"/>
      <c r="GD17"/>
      <c r="GE17"/>
      <c r="GF17"/>
      <c r="GG17"/>
      <c r="GH17"/>
      <c r="GI17"/>
      <c r="GJ17"/>
      <c r="GK17"/>
      <c r="GL17"/>
      <c r="GM17"/>
      <c r="GN17"/>
      <c r="GO17"/>
      <c r="GP17"/>
      <c r="GQ17"/>
      <c r="GR17"/>
      <c r="GS17"/>
      <c r="GT17"/>
      <c r="GU17"/>
      <c r="GV17"/>
      <c r="GW17"/>
      <c r="GX17"/>
      <c r="GY17"/>
      <c r="GZ17"/>
      <c r="HA17"/>
      <c r="HB17"/>
      <c r="HC17"/>
      <c r="HD17"/>
      <c r="HE17"/>
      <c r="HF17"/>
      <c r="HG17"/>
      <c r="HH17"/>
      <c r="HI17"/>
      <c r="HJ17"/>
      <c r="HK17"/>
      <c r="HL17"/>
      <c r="HM17"/>
      <c r="HN17"/>
      <c r="HO17"/>
      <c r="HP17"/>
      <c r="HQ17"/>
      <c r="HR17"/>
      <c r="HS17"/>
      <c r="HT17"/>
      <c r="HU17"/>
      <c r="HV17"/>
      <c r="HW17"/>
      <c r="HX17"/>
      <c r="HY17"/>
      <c r="HZ17"/>
      <c r="IA17"/>
      <c r="IB17"/>
      <c r="IC17"/>
      <c r="ID17"/>
      <c r="IE17"/>
      <c r="IF17"/>
      <c r="IG17"/>
      <c r="IH17"/>
      <c r="II17"/>
      <c r="IJ17"/>
      <c r="IK17"/>
      <c r="IL17"/>
      <c r="IM17"/>
      <c r="IN17"/>
      <c r="IO17"/>
      <c r="IP17"/>
      <c r="IQ17"/>
      <c r="IR17"/>
      <c r="IS17"/>
      <c r="IT17"/>
      <c r="IU17"/>
      <c r="IV17"/>
    </row>
    <row r="18" spans="1:256" s="174" customFormat="1" x14ac:dyDescent="0.35">
      <c r="A18" s="116"/>
      <c r="B18" s="96"/>
      <c r="C18" s="266"/>
      <c r="D18" s="99"/>
      <c r="E18" s="99"/>
      <c r="F18" s="82"/>
      <c r="G18" s="80"/>
      <c r="H18" s="82"/>
      <c r="I18" s="82"/>
      <c r="J18" s="82"/>
      <c r="K18" s="82"/>
      <c r="L18" s="82"/>
      <c r="M18" s="82"/>
      <c r="N18" s="82"/>
      <c r="O18" s="82"/>
      <c r="P18" s="82"/>
      <c r="Q18" s="81"/>
      <c r="R18" s="82"/>
      <c r="S18" s="81"/>
      <c r="T18" s="81">
        <v>43282</v>
      </c>
      <c r="U18" s="265">
        <v>43646</v>
      </c>
      <c r="V18" s="82">
        <f t="shared" si="0"/>
        <v>12</v>
      </c>
      <c r="W18" s="99">
        <v>3.33</v>
      </c>
      <c r="X18" s="99">
        <v>0.3</v>
      </c>
      <c r="Y18" s="112"/>
      <c r="Z18" s="82"/>
      <c r="AA18" s="83">
        <f t="shared" si="1"/>
        <v>3.63</v>
      </c>
      <c r="AB18" s="84">
        <v>1390000</v>
      </c>
      <c r="AC18" s="84">
        <f t="shared" si="2"/>
        <v>60548400</v>
      </c>
      <c r="AD18" s="85"/>
      <c r="AE18" s="85"/>
      <c r="AF18" s="82"/>
      <c r="AG18" s="82"/>
      <c r="AH18" s="82"/>
      <c r="AI18" s="82"/>
      <c r="AJ18" s="82"/>
      <c r="AK18" s="193"/>
      <c r="AL18" s="82"/>
      <c r="AM18" s="99"/>
      <c r="AN18"/>
      <c r="AO18"/>
      <c r="AP18"/>
      <c r="AQ18"/>
      <c r="AR18"/>
      <c r="AS18"/>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c r="CH18"/>
      <c r="CI18"/>
      <c r="CJ18"/>
      <c r="CK18"/>
      <c r="CL18"/>
      <c r="CM18"/>
      <c r="CN18"/>
      <c r="CO18"/>
      <c r="CP18"/>
      <c r="CQ18"/>
      <c r="CR18"/>
      <c r="CS18"/>
      <c r="CT18"/>
      <c r="CU18"/>
      <c r="CV18"/>
      <c r="CW18"/>
      <c r="CX18"/>
      <c r="CY18"/>
      <c r="CZ18"/>
      <c r="DA18"/>
      <c r="DB18"/>
      <c r="DC18"/>
      <c r="DD18"/>
      <c r="DE18"/>
      <c r="DF18"/>
      <c r="DG18"/>
      <c r="DH18"/>
      <c r="DI18"/>
      <c r="DJ18"/>
      <c r="DK18"/>
      <c r="DL18"/>
      <c r="DM18"/>
      <c r="DN18"/>
      <c r="DO18"/>
      <c r="DP18"/>
      <c r="DQ18"/>
      <c r="DR18"/>
      <c r="DS18"/>
      <c r="DT18"/>
      <c r="DU18"/>
      <c r="DV18"/>
      <c r="DW18"/>
      <c r="DX18"/>
      <c r="DY18"/>
      <c r="DZ18"/>
      <c r="EA18"/>
      <c r="EB18"/>
      <c r="EC18"/>
      <c r="ED18"/>
      <c r="EE18"/>
      <c r="EF18"/>
      <c r="EG18"/>
      <c r="EH18"/>
      <c r="EI18"/>
      <c r="EJ18"/>
      <c r="EK18"/>
      <c r="EL18"/>
      <c r="EM18"/>
      <c r="EN18"/>
      <c r="EO18"/>
      <c r="EP18"/>
      <c r="EQ18"/>
      <c r="ER18"/>
      <c r="ES18"/>
      <c r="ET18"/>
      <c r="EU18"/>
      <c r="EV18"/>
      <c r="EW18"/>
      <c r="EX18"/>
      <c r="EY18"/>
      <c r="EZ18"/>
      <c r="FA18"/>
      <c r="FB18"/>
      <c r="FC18"/>
      <c r="FD18"/>
      <c r="FE18"/>
      <c r="FF18"/>
      <c r="FG18"/>
      <c r="FH18"/>
      <c r="FI18"/>
      <c r="FJ18"/>
      <c r="FK18"/>
      <c r="FL18"/>
      <c r="FM18"/>
      <c r="FN18"/>
      <c r="FO18"/>
      <c r="FP18"/>
      <c r="FQ18"/>
      <c r="FR18"/>
      <c r="FS18"/>
      <c r="FT18"/>
      <c r="FU18"/>
      <c r="FV18"/>
      <c r="FW18"/>
      <c r="FX18"/>
      <c r="FY18"/>
      <c r="FZ18"/>
      <c r="GA18"/>
      <c r="GB18"/>
      <c r="GC18"/>
      <c r="GD18"/>
      <c r="GE18"/>
      <c r="GF18"/>
      <c r="GG18"/>
      <c r="GH18"/>
      <c r="GI18"/>
      <c r="GJ18"/>
      <c r="GK18"/>
      <c r="GL18"/>
      <c r="GM18"/>
      <c r="GN18"/>
      <c r="GO18"/>
      <c r="GP18"/>
      <c r="GQ18"/>
      <c r="GR18"/>
      <c r="GS18"/>
      <c r="GT18"/>
      <c r="GU18"/>
      <c r="GV18"/>
      <c r="GW18"/>
      <c r="GX18"/>
      <c r="GY18"/>
      <c r="GZ18"/>
      <c r="HA18"/>
      <c r="HB18"/>
      <c r="HC18"/>
      <c r="HD18"/>
      <c r="HE18"/>
      <c r="HF18"/>
      <c r="HG18"/>
      <c r="HH18"/>
      <c r="HI18"/>
      <c r="HJ18"/>
      <c r="HK18"/>
      <c r="HL18"/>
      <c r="HM18"/>
      <c r="HN18"/>
      <c r="HO18"/>
      <c r="HP18"/>
      <c r="HQ18"/>
      <c r="HR18"/>
      <c r="HS18"/>
      <c r="HT18"/>
      <c r="HU18"/>
      <c r="HV18"/>
      <c r="HW18"/>
      <c r="HX18"/>
      <c r="HY18"/>
      <c r="HZ18"/>
      <c r="IA18"/>
      <c r="IB18"/>
      <c r="IC18"/>
      <c r="ID18"/>
      <c r="IE18"/>
      <c r="IF18"/>
      <c r="IG18"/>
      <c r="IH18"/>
      <c r="II18"/>
      <c r="IJ18"/>
      <c r="IK18"/>
      <c r="IL18"/>
      <c r="IM18"/>
      <c r="IN18"/>
      <c r="IO18"/>
      <c r="IP18"/>
      <c r="IQ18"/>
      <c r="IR18"/>
      <c r="IS18"/>
      <c r="IT18"/>
      <c r="IU18"/>
      <c r="IV18"/>
    </row>
    <row r="19" spans="1:256" ht="15" customHeight="1" x14ac:dyDescent="0.35">
      <c r="B19" s="96"/>
      <c r="C19" s="266"/>
      <c r="D19" s="99"/>
      <c r="E19" s="99"/>
      <c r="F19" s="82"/>
      <c r="G19" s="80"/>
      <c r="H19" s="82"/>
      <c r="I19" s="82"/>
      <c r="J19" s="82"/>
      <c r="K19" s="82"/>
      <c r="L19" s="82"/>
      <c r="M19" s="82"/>
      <c r="N19" s="82"/>
      <c r="O19" s="82"/>
      <c r="P19" s="82"/>
      <c r="Q19" s="81"/>
      <c r="R19" s="82"/>
      <c r="S19" s="81"/>
      <c r="T19" s="81">
        <v>43647</v>
      </c>
      <c r="U19" s="265">
        <v>43768</v>
      </c>
      <c r="V19" s="82">
        <f>ROUND(DAYS360(T19,U19,0)/30,0)</f>
        <v>4</v>
      </c>
      <c r="W19" s="99">
        <v>3.33</v>
      </c>
      <c r="X19" s="99">
        <v>0.3</v>
      </c>
      <c r="Y19" s="112"/>
      <c r="Z19" s="82"/>
      <c r="AA19" s="83">
        <f>W19+X19+Y19*W19+(W19+X19+Y19*W19)*Z19</f>
        <v>3.63</v>
      </c>
      <c r="AB19" s="84">
        <v>1490000</v>
      </c>
      <c r="AC19" s="84">
        <f>V19*AA19*AB19</f>
        <v>21634800</v>
      </c>
      <c r="AD19" s="85"/>
      <c r="AE19" s="85"/>
      <c r="AF19" s="82"/>
      <c r="AG19" s="82"/>
      <c r="AH19" s="82"/>
      <c r="AI19" s="82"/>
      <c r="AJ19" s="82"/>
      <c r="AK19" s="193"/>
      <c r="AL19" s="82"/>
      <c r="AM19" s="99"/>
    </row>
    <row r="20" spans="1:256" ht="15" customHeight="1" x14ac:dyDescent="0.35">
      <c r="B20" s="96"/>
      <c r="C20" s="266"/>
      <c r="D20" s="99"/>
      <c r="E20" s="99"/>
      <c r="F20" s="82"/>
      <c r="G20" s="80"/>
      <c r="H20" s="82"/>
      <c r="I20" s="82"/>
      <c r="J20" s="82"/>
      <c r="K20" s="82"/>
      <c r="L20" s="82"/>
      <c r="M20" s="82"/>
      <c r="N20" s="82"/>
      <c r="O20" s="82"/>
      <c r="P20" s="82"/>
      <c r="Q20" s="81"/>
      <c r="R20" s="82"/>
      <c r="S20" s="81"/>
      <c r="T20" s="81">
        <v>43770</v>
      </c>
      <c r="U20" s="265">
        <v>44042</v>
      </c>
      <c r="V20" s="82">
        <f t="shared" ref="V20:V21" si="3">ROUND(DAYS360(T20,U20,0)/30,0)</f>
        <v>9</v>
      </c>
      <c r="W20" s="99">
        <v>3.66</v>
      </c>
      <c r="X20" s="99">
        <v>0.3</v>
      </c>
      <c r="Y20" s="112"/>
      <c r="Z20" s="82"/>
      <c r="AA20" s="83">
        <f t="shared" ref="AA20:AA21" si="4">W20+X20+Y20*W20+(W20+X20+Y20*W20)*Z20</f>
        <v>3.96</v>
      </c>
      <c r="AB20" s="84">
        <v>1490000</v>
      </c>
      <c r="AC20" s="84">
        <f t="shared" ref="AC20:AC21" si="5">V20*AA20*AB20</f>
        <v>53103600</v>
      </c>
      <c r="AD20" s="85"/>
      <c r="AE20" s="85"/>
      <c r="AF20" s="82"/>
      <c r="AG20" s="82"/>
      <c r="AH20" s="82"/>
      <c r="AI20" s="82"/>
      <c r="AJ20" s="82"/>
      <c r="AK20" s="193"/>
      <c r="AL20" s="82"/>
      <c r="AM20" s="99"/>
    </row>
    <row r="21" spans="1:256" ht="15" customHeight="1" x14ac:dyDescent="0.35">
      <c r="B21" s="96"/>
      <c r="C21" s="266"/>
      <c r="D21" s="99"/>
      <c r="E21" s="99"/>
      <c r="F21" s="82"/>
      <c r="G21" s="80"/>
      <c r="H21" s="82"/>
      <c r="I21" s="82"/>
      <c r="J21" s="82"/>
      <c r="K21" s="82"/>
      <c r="L21" s="82"/>
      <c r="M21" s="82"/>
      <c r="N21" s="82"/>
      <c r="O21" s="82"/>
      <c r="P21" s="82"/>
      <c r="Q21" s="81"/>
      <c r="R21" s="82"/>
      <c r="S21" s="81"/>
      <c r="T21" s="81">
        <v>44044</v>
      </c>
      <c r="U21" s="265">
        <v>44407</v>
      </c>
      <c r="V21" s="82">
        <f t="shared" si="3"/>
        <v>12</v>
      </c>
      <c r="W21" s="99">
        <v>3.66</v>
      </c>
      <c r="X21" s="82">
        <v>0.25</v>
      </c>
      <c r="Y21" s="112"/>
      <c r="Z21" s="82"/>
      <c r="AA21" s="83">
        <f t="shared" si="4"/>
        <v>3.91</v>
      </c>
      <c r="AB21" s="84">
        <v>1490000</v>
      </c>
      <c r="AC21" s="84">
        <f t="shared" si="5"/>
        <v>69910800</v>
      </c>
      <c r="AD21" s="85"/>
      <c r="AE21" s="85"/>
      <c r="AF21" s="82"/>
      <c r="AG21" s="82"/>
      <c r="AH21" s="82"/>
      <c r="AI21" s="82"/>
      <c r="AJ21" s="82"/>
      <c r="AK21" s="193"/>
      <c r="AL21" s="82"/>
      <c r="AM21" s="99"/>
    </row>
    <row r="22" spans="1:256" ht="15" customHeight="1" x14ac:dyDescent="0.35">
      <c r="B22" s="96"/>
      <c r="C22" s="266"/>
      <c r="D22" s="99"/>
      <c r="E22" s="99"/>
      <c r="F22" s="82"/>
      <c r="G22" s="80"/>
      <c r="H22" s="82"/>
      <c r="I22" s="82"/>
      <c r="J22" s="82"/>
      <c r="K22" s="82"/>
      <c r="L22" s="82"/>
      <c r="M22" s="82"/>
      <c r="N22" s="82"/>
      <c r="O22" s="82"/>
      <c r="P22" s="82"/>
      <c r="Q22" s="81"/>
      <c r="R22" s="82"/>
      <c r="S22" s="81"/>
      <c r="T22" s="81">
        <v>44409</v>
      </c>
      <c r="U22" s="265">
        <v>44864</v>
      </c>
      <c r="V22" s="82">
        <f t="shared" ref="V22:V23" si="6">ROUND(DAYS360(T22,U22,0)/30,0)</f>
        <v>15</v>
      </c>
      <c r="W22" s="99">
        <v>3.66</v>
      </c>
      <c r="X22" s="82"/>
      <c r="Y22" s="112"/>
      <c r="Z22" s="82"/>
      <c r="AA22" s="83">
        <f t="shared" ref="AA22:AA23" si="7">W22+X22+Y22*W22+(W22+X22+Y22*W22)*Z22</f>
        <v>3.66</v>
      </c>
      <c r="AB22" s="84">
        <v>1490000</v>
      </c>
      <c r="AC22" s="84">
        <f t="shared" ref="AC22:AC23" si="8">V22*AA22*AB22</f>
        <v>81801000.000000015</v>
      </c>
      <c r="AD22" s="85"/>
      <c r="AE22" s="85"/>
      <c r="AF22" s="82"/>
      <c r="AG22" s="82"/>
      <c r="AH22" s="82"/>
      <c r="AI22" s="82"/>
      <c r="AJ22" s="82"/>
      <c r="AK22" s="193"/>
      <c r="AL22" s="82"/>
      <c r="AM22" s="99"/>
    </row>
    <row r="23" spans="1:256" ht="15" customHeight="1" x14ac:dyDescent="0.35">
      <c r="B23" s="96"/>
      <c r="C23" s="266"/>
      <c r="D23" s="99"/>
      <c r="E23" s="99"/>
      <c r="F23" s="82"/>
      <c r="G23" s="80"/>
      <c r="H23" s="82"/>
      <c r="I23" s="82"/>
      <c r="J23" s="82"/>
      <c r="K23" s="82"/>
      <c r="L23" s="82"/>
      <c r="M23" s="82"/>
      <c r="N23" s="82"/>
      <c r="O23" s="82"/>
      <c r="P23" s="82"/>
      <c r="Q23" s="81"/>
      <c r="R23" s="82"/>
      <c r="S23" s="81"/>
      <c r="T23" s="81">
        <v>44866</v>
      </c>
      <c r="U23" s="265">
        <v>44925</v>
      </c>
      <c r="V23" s="82">
        <f t="shared" si="6"/>
        <v>2</v>
      </c>
      <c r="W23" s="99">
        <v>3.99</v>
      </c>
      <c r="X23" s="82"/>
      <c r="Y23" s="112"/>
      <c r="Z23" s="82"/>
      <c r="AA23" s="83">
        <f t="shared" si="7"/>
        <v>3.99</v>
      </c>
      <c r="AB23" s="84">
        <v>1490000</v>
      </c>
      <c r="AC23" s="84">
        <f t="shared" si="8"/>
        <v>11890200</v>
      </c>
      <c r="AD23" s="85"/>
      <c r="AE23" s="85"/>
      <c r="AF23" s="82"/>
      <c r="AG23" s="82"/>
      <c r="AH23" s="82"/>
      <c r="AI23" s="82"/>
      <c r="AJ23" s="82"/>
      <c r="AK23" s="193"/>
      <c r="AL23" s="82"/>
      <c r="AM23" s="99"/>
    </row>
    <row r="24" spans="1:256" x14ac:dyDescent="0.35">
      <c r="B24" s="89"/>
      <c r="C24" s="268"/>
      <c r="D24" s="91"/>
      <c r="E24" s="91"/>
      <c r="F24" s="91"/>
      <c r="G24" s="90"/>
      <c r="H24" s="91"/>
      <c r="I24" s="91"/>
      <c r="J24" s="91"/>
      <c r="K24" s="91"/>
      <c r="L24" s="91"/>
      <c r="M24" s="91"/>
      <c r="N24" s="91"/>
      <c r="O24" s="91"/>
      <c r="P24" s="91"/>
      <c r="Q24" s="92"/>
      <c r="R24" s="91"/>
      <c r="S24" s="91"/>
      <c r="T24" s="92"/>
      <c r="U24" s="92"/>
      <c r="V24" s="91">
        <f>SUM(V17:V23)</f>
        <v>60</v>
      </c>
      <c r="W24" s="93"/>
      <c r="X24" s="92"/>
      <c r="Y24" s="92"/>
      <c r="Z24" s="92"/>
      <c r="AA24" s="93"/>
      <c r="AB24" s="94"/>
      <c r="AC24" s="94">
        <f>SUM(AC17:AC23)</f>
        <v>327202800</v>
      </c>
      <c r="AD24" s="91"/>
      <c r="AE24" s="91"/>
      <c r="AF24" s="91"/>
      <c r="AG24" s="91"/>
      <c r="AH24" s="91"/>
      <c r="AI24" s="91"/>
      <c r="AJ24" s="91"/>
      <c r="AK24" s="194"/>
      <c r="AL24" s="91"/>
      <c r="AM24" s="91"/>
    </row>
    <row r="25" spans="1:256" s="174" customFormat="1" ht="21" x14ac:dyDescent="0.35">
      <c r="A25" s="116" t="s">
        <v>663</v>
      </c>
      <c r="B25" s="96">
        <v>1</v>
      </c>
      <c r="C25" s="445" t="s">
        <v>704</v>
      </c>
      <c r="D25" s="401">
        <v>31496</v>
      </c>
      <c r="E25" s="401">
        <v>31503</v>
      </c>
      <c r="F25" s="99" t="s">
        <v>151</v>
      </c>
      <c r="G25" s="214" t="s">
        <v>705</v>
      </c>
      <c r="H25" s="155">
        <v>3.06</v>
      </c>
      <c r="I25" s="139">
        <v>44593</v>
      </c>
      <c r="J25" s="140"/>
      <c r="K25" s="139"/>
      <c r="L25" s="264"/>
      <c r="M25" s="262"/>
      <c r="N25" s="264"/>
      <c r="O25" s="262"/>
      <c r="P25" s="154"/>
      <c r="Q25" s="154"/>
      <c r="R25" s="155" t="s">
        <v>707</v>
      </c>
      <c r="S25" s="139" t="s">
        <v>708</v>
      </c>
      <c r="T25" s="98">
        <f>EDATE(AH25,-60)</f>
        <v>43101</v>
      </c>
      <c r="U25" s="98">
        <v>43130</v>
      </c>
      <c r="V25" s="99">
        <f t="shared" ref="V25:V30" si="9">ROUND(DAYS360(T25,U25,0)/30,0)</f>
        <v>1</v>
      </c>
      <c r="W25" s="99">
        <v>2.46</v>
      </c>
      <c r="X25" s="99"/>
      <c r="Y25" s="141"/>
      <c r="Z25" s="99"/>
      <c r="AA25" s="100">
        <f t="shared" ref="AA25:AA30" si="10">W25+X25+Y25*W25+(W25+X25+Y25*W25)*Z25</f>
        <v>2.46</v>
      </c>
      <c r="AB25" s="101">
        <v>1300000</v>
      </c>
      <c r="AC25" s="101">
        <f t="shared" ref="AC25:AC30" si="11">V25*AA25*AB25</f>
        <v>3198000</v>
      </c>
      <c r="AD25" s="103">
        <f>AB30*AA30</f>
        <v>4559400</v>
      </c>
      <c r="AE25" s="226">
        <f>AC31/V31</f>
        <v>4083793.3333333335</v>
      </c>
      <c r="AF25" s="99" t="s">
        <v>709</v>
      </c>
      <c r="AG25" s="99"/>
      <c r="AH25" s="98" t="s">
        <v>696</v>
      </c>
      <c r="AI25" s="98">
        <f>DATE(YEAR(D25),MONTH(D25)+1,1)</f>
        <v>31503</v>
      </c>
      <c r="AJ25" s="99" t="str">
        <f>DATEDIF(AI25,AH25,"y")&amp;"t"&amp;DATEDIF(AI25,AH25,"ym")&amp;"th"</f>
        <v>36t9th</v>
      </c>
      <c r="AK25" s="192">
        <f>SUM(AL25:AM25)</f>
        <v>102500705</v>
      </c>
      <c r="AL25" s="103">
        <f>ROUND(3*AD25,0)</f>
        <v>13678200</v>
      </c>
      <c r="AM25" s="163">
        <f>ROUND((VALUE(LEFT(AF25,2)+IF(LEN(AF25)&lt;4,0,IF(VALUE(MID(AF25,4,LEN(AF25)-4))&gt;6,1,IF(VALUE(MID(AF25,4,LEN(AF25)-4))&gt;2,0.5,0)))))*AE25*1.5,0)</f>
        <v>88822505</v>
      </c>
      <c r="AN25"/>
      <c r="AO25"/>
      <c r="AP25"/>
      <c r="AQ25"/>
      <c r="AR25"/>
      <c r="AS25"/>
      <c r="AT25"/>
      <c r="AU25"/>
      <c r="AV25"/>
      <c r="AW25"/>
      <c r="AX25"/>
      <c r="AY25"/>
      <c r="AZ25"/>
      <c r="BA25"/>
      <c r="BB25"/>
      <c r="BC25"/>
      <c r="BD25"/>
      <c r="BE25"/>
      <c r="BF25"/>
      <c r="BG25"/>
      <c r="BH25"/>
      <c r="BI25"/>
      <c r="BJ25"/>
      <c r="BK25"/>
      <c r="BL25"/>
      <c r="BM25"/>
      <c r="BN25"/>
      <c r="BO25"/>
      <c r="BP25"/>
      <c r="BQ25"/>
      <c r="BR25"/>
      <c r="BS25"/>
      <c r="BT25"/>
      <c r="BU25"/>
      <c r="BV25"/>
      <c r="BW25"/>
      <c r="BX25"/>
      <c r="BY25"/>
      <c r="BZ25"/>
      <c r="CA25"/>
      <c r="CB25"/>
      <c r="CC25"/>
      <c r="CD25"/>
      <c r="CE25"/>
      <c r="CF25"/>
      <c r="CG25"/>
      <c r="CH25"/>
      <c r="CI25"/>
      <c r="CJ25"/>
      <c r="CK25"/>
      <c r="CL25"/>
      <c r="CM25"/>
      <c r="CN25"/>
      <c r="CO25"/>
      <c r="CP25"/>
      <c r="CQ25"/>
      <c r="CR25"/>
      <c r="CS25"/>
      <c r="CT25"/>
      <c r="CU25"/>
      <c r="CV25"/>
      <c r="CW25"/>
      <c r="CX25"/>
      <c r="CY25"/>
      <c r="CZ25"/>
      <c r="DA25"/>
      <c r="DB25"/>
      <c r="DC25"/>
      <c r="DD25"/>
      <c r="DE25"/>
      <c r="DF25"/>
      <c r="DG25"/>
      <c r="DH25"/>
      <c r="DI25"/>
      <c r="DJ25"/>
      <c r="DK25"/>
      <c r="DL25"/>
      <c r="DM25"/>
      <c r="DN25"/>
      <c r="DO25"/>
      <c r="DP25"/>
      <c r="DQ25"/>
      <c r="DR25"/>
      <c r="DS25"/>
      <c r="DT25"/>
      <c r="DU25"/>
      <c r="DV25"/>
      <c r="DW25"/>
      <c r="DX25"/>
      <c r="DY25"/>
      <c r="DZ25"/>
      <c r="EA25"/>
      <c r="EB25"/>
      <c r="EC25"/>
      <c r="ED25"/>
      <c r="EE25"/>
      <c r="EF25"/>
      <c r="EG25"/>
      <c r="EH25"/>
      <c r="EI25"/>
      <c r="EJ25"/>
      <c r="EK25"/>
      <c r="EL25"/>
      <c r="EM25"/>
      <c r="EN25"/>
      <c r="EO25"/>
      <c r="EP25"/>
      <c r="EQ25"/>
      <c r="ER25"/>
      <c r="ES25"/>
      <c r="ET25"/>
      <c r="EU25"/>
      <c r="EV25"/>
      <c r="EW25"/>
      <c r="EX25"/>
      <c r="EY25"/>
      <c r="EZ25"/>
      <c r="FA25"/>
      <c r="FB25"/>
      <c r="FC25"/>
      <c r="FD25"/>
      <c r="FE25"/>
      <c r="FF25"/>
      <c r="FG25"/>
      <c r="FH25"/>
      <c r="FI25"/>
      <c r="FJ25"/>
      <c r="FK25"/>
      <c r="FL25"/>
      <c r="FM25"/>
      <c r="FN25"/>
      <c r="FO25"/>
      <c r="FP25"/>
      <c r="FQ25"/>
      <c r="FR25"/>
      <c r="FS25"/>
      <c r="FT25"/>
      <c r="FU25"/>
      <c r="FV25"/>
      <c r="FW25"/>
      <c r="FX25"/>
      <c r="FY25"/>
      <c r="FZ25"/>
      <c r="GA25"/>
      <c r="GB25"/>
      <c r="GC25"/>
      <c r="GD25"/>
      <c r="GE25"/>
      <c r="GF25"/>
      <c r="GG25"/>
      <c r="GH25"/>
      <c r="GI25"/>
      <c r="GJ25"/>
      <c r="GK25"/>
      <c r="GL25"/>
      <c r="GM25"/>
      <c r="GN25"/>
      <c r="GO25"/>
      <c r="GP25"/>
      <c r="GQ25"/>
      <c r="GR25"/>
      <c r="GS25"/>
      <c r="GT25"/>
      <c r="GU25"/>
      <c r="GV25"/>
      <c r="GW25"/>
      <c r="GX25"/>
      <c r="GY25"/>
      <c r="GZ25"/>
      <c r="HA25"/>
      <c r="HB25"/>
      <c r="HC25"/>
      <c r="HD25"/>
      <c r="HE25"/>
      <c r="HF25"/>
      <c r="HG25"/>
      <c r="HH25"/>
      <c r="HI25"/>
      <c r="HJ25"/>
      <c r="HK25"/>
      <c r="HL25"/>
      <c r="HM25"/>
      <c r="HN25"/>
      <c r="HO25"/>
      <c r="HP25"/>
      <c r="HQ25"/>
      <c r="HR25"/>
      <c r="HS25"/>
      <c r="HT25"/>
      <c r="HU25"/>
      <c r="HV25"/>
      <c r="HW25"/>
      <c r="HX25"/>
      <c r="HY25"/>
      <c r="HZ25"/>
      <c r="IA25"/>
      <c r="IB25"/>
      <c r="IC25"/>
      <c r="ID25"/>
      <c r="IE25"/>
      <c r="IF25"/>
      <c r="IG25"/>
      <c r="IH25"/>
      <c r="II25"/>
      <c r="IJ25"/>
      <c r="IK25"/>
      <c r="IL25"/>
      <c r="IM25"/>
      <c r="IN25"/>
      <c r="IO25"/>
      <c r="IP25"/>
      <c r="IQ25"/>
      <c r="IR25"/>
      <c r="IS25"/>
      <c r="IT25"/>
      <c r="IU25"/>
      <c r="IV25"/>
    </row>
    <row r="26" spans="1:256" s="174" customFormat="1" x14ac:dyDescent="0.35">
      <c r="A26" s="116"/>
      <c r="B26" s="96"/>
      <c r="C26" s="266"/>
      <c r="D26" s="99"/>
      <c r="E26" s="99"/>
      <c r="F26" s="82"/>
      <c r="G26" s="80"/>
      <c r="H26" s="82"/>
      <c r="I26" s="82"/>
      <c r="J26" s="82"/>
      <c r="K26" s="82"/>
      <c r="L26" s="82"/>
      <c r="M26" s="82"/>
      <c r="N26" s="82"/>
      <c r="O26" s="82"/>
      <c r="P26" s="82"/>
      <c r="Q26" s="81"/>
      <c r="R26" s="82"/>
      <c r="S26" s="81"/>
      <c r="T26" s="81">
        <v>43132</v>
      </c>
      <c r="U26" s="265">
        <v>43281</v>
      </c>
      <c r="V26" s="82">
        <f t="shared" si="9"/>
        <v>5</v>
      </c>
      <c r="W26" s="99">
        <v>2.66</v>
      </c>
      <c r="X26" s="82"/>
      <c r="Y26" s="141"/>
      <c r="Z26" s="82"/>
      <c r="AA26" s="83">
        <f t="shared" si="10"/>
        <v>2.66</v>
      </c>
      <c r="AB26" s="84">
        <v>1300000</v>
      </c>
      <c r="AC26" s="84">
        <f t="shared" si="11"/>
        <v>17290000</v>
      </c>
      <c r="AD26" s="85"/>
      <c r="AE26" s="85"/>
      <c r="AF26" s="82"/>
      <c r="AG26" s="82"/>
      <c r="AH26" s="82"/>
      <c r="AI26" s="82"/>
      <c r="AJ26" s="82"/>
      <c r="AK26" s="193"/>
      <c r="AL26" s="82"/>
      <c r="AM26" s="99"/>
      <c r="AN26"/>
      <c r="AO26"/>
      <c r="AP26"/>
      <c r="AQ26"/>
      <c r="AR26"/>
      <c r="AS26"/>
      <c r="AT26"/>
      <c r="AU26"/>
      <c r="AV26"/>
      <c r="AW26"/>
      <c r="AX26"/>
      <c r="AY26"/>
      <c r="AZ26"/>
      <c r="BA26"/>
      <c r="BB26"/>
      <c r="BC26"/>
      <c r="BD26"/>
      <c r="BE26"/>
      <c r="BF26"/>
      <c r="BG26"/>
      <c r="BH26"/>
      <c r="BI26"/>
      <c r="BJ26"/>
      <c r="BK26"/>
      <c r="BL26"/>
      <c r="BM26"/>
      <c r="BN26"/>
      <c r="BO26"/>
      <c r="BP26"/>
      <c r="BQ26"/>
      <c r="BR26"/>
      <c r="BS26"/>
      <c r="BT26"/>
      <c r="BU26"/>
      <c r="BV26"/>
      <c r="BW26"/>
      <c r="BX26"/>
      <c r="BY26"/>
      <c r="BZ26"/>
      <c r="CA26"/>
      <c r="CB26"/>
      <c r="CC26"/>
      <c r="CD26"/>
      <c r="CE26"/>
      <c r="CF26"/>
      <c r="CG26"/>
      <c r="CH26"/>
      <c r="CI26"/>
      <c r="CJ26"/>
      <c r="CK26"/>
      <c r="CL26"/>
      <c r="CM26"/>
      <c r="CN26"/>
      <c r="CO26"/>
      <c r="CP26"/>
      <c r="CQ26"/>
      <c r="CR26"/>
      <c r="CS26"/>
      <c r="CT26"/>
      <c r="CU26"/>
      <c r="CV26"/>
      <c r="CW26"/>
      <c r="CX26"/>
      <c r="CY26"/>
      <c r="CZ26"/>
      <c r="DA26"/>
      <c r="DB26"/>
      <c r="DC26"/>
      <c r="DD26"/>
      <c r="DE26"/>
      <c r="DF26"/>
      <c r="DG26"/>
      <c r="DH26"/>
      <c r="DI26"/>
      <c r="DJ26"/>
      <c r="DK26"/>
      <c r="DL26"/>
      <c r="DM26"/>
      <c r="DN26"/>
      <c r="DO26"/>
      <c r="DP26"/>
      <c r="DQ26"/>
      <c r="DR26"/>
      <c r="DS26"/>
      <c r="DT26"/>
      <c r="DU26"/>
      <c r="DV26"/>
      <c r="DW26"/>
      <c r="DX26"/>
      <c r="DY26"/>
      <c r="DZ26"/>
      <c r="EA26"/>
      <c r="EB26"/>
      <c r="EC26"/>
      <c r="ED26"/>
      <c r="EE26"/>
      <c r="EF26"/>
      <c r="EG26"/>
      <c r="EH26"/>
      <c r="EI26"/>
      <c r="EJ26"/>
      <c r="EK26"/>
      <c r="EL26"/>
      <c r="EM26"/>
      <c r="EN26"/>
      <c r="EO26"/>
      <c r="EP26"/>
      <c r="EQ26"/>
      <c r="ER26"/>
      <c r="ES26"/>
      <c r="ET26"/>
      <c r="EU26"/>
      <c r="EV26"/>
      <c r="EW26"/>
      <c r="EX26"/>
      <c r="EY26"/>
      <c r="EZ26"/>
      <c r="FA26"/>
      <c r="FB26"/>
      <c r="FC26"/>
      <c r="FD26"/>
      <c r="FE26"/>
      <c r="FF26"/>
      <c r="FG26"/>
      <c r="FH26"/>
      <c r="FI26"/>
      <c r="FJ26"/>
      <c r="FK26"/>
      <c r="FL26"/>
      <c r="FM26"/>
      <c r="FN26"/>
      <c r="FO26"/>
      <c r="FP26"/>
      <c r="FQ26"/>
      <c r="FR26"/>
      <c r="FS26"/>
      <c r="FT26"/>
      <c r="FU26"/>
      <c r="FV26"/>
      <c r="FW26"/>
      <c r="FX26"/>
      <c r="FY26"/>
      <c r="FZ26"/>
      <c r="GA26"/>
      <c r="GB26"/>
      <c r="GC26"/>
      <c r="GD26"/>
      <c r="GE26"/>
      <c r="GF26"/>
      <c r="GG26"/>
      <c r="GH26"/>
      <c r="GI26"/>
      <c r="GJ26"/>
      <c r="GK26"/>
      <c r="GL26"/>
      <c r="GM26"/>
      <c r="GN26"/>
      <c r="GO26"/>
      <c r="GP26"/>
      <c r="GQ26"/>
      <c r="GR26"/>
      <c r="GS26"/>
      <c r="GT26"/>
      <c r="GU26"/>
      <c r="GV26"/>
      <c r="GW26"/>
      <c r="GX26"/>
      <c r="GY26"/>
      <c r="GZ26"/>
      <c r="HA26"/>
      <c r="HB26"/>
      <c r="HC26"/>
      <c r="HD26"/>
      <c r="HE26"/>
      <c r="HF26"/>
      <c r="HG26"/>
      <c r="HH26"/>
      <c r="HI26"/>
      <c r="HJ26"/>
      <c r="HK26"/>
      <c r="HL26"/>
      <c r="HM26"/>
      <c r="HN26"/>
      <c r="HO26"/>
      <c r="HP26"/>
      <c r="HQ26"/>
      <c r="HR26"/>
      <c r="HS26"/>
      <c r="HT26"/>
      <c r="HU26"/>
      <c r="HV26"/>
      <c r="HW26"/>
      <c r="HX26"/>
      <c r="HY26"/>
      <c r="HZ26"/>
      <c r="IA26"/>
      <c r="IB26"/>
      <c r="IC26"/>
      <c r="ID26"/>
      <c r="IE26"/>
      <c r="IF26"/>
      <c r="IG26"/>
      <c r="IH26"/>
      <c r="II26"/>
      <c r="IJ26"/>
      <c r="IK26"/>
      <c r="IL26"/>
      <c r="IM26"/>
      <c r="IN26"/>
      <c r="IO26"/>
      <c r="IP26"/>
      <c r="IQ26"/>
      <c r="IR26"/>
      <c r="IS26"/>
      <c r="IT26"/>
      <c r="IU26"/>
      <c r="IV26"/>
    </row>
    <row r="27" spans="1:256" s="174" customFormat="1" x14ac:dyDescent="0.35">
      <c r="A27" s="116"/>
      <c r="B27" s="96"/>
      <c r="C27" s="266"/>
      <c r="D27" s="99"/>
      <c r="E27" s="99"/>
      <c r="F27" s="82"/>
      <c r="G27" s="80"/>
      <c r="H27" s="82"/>
      <c r="I27" s="82"/>
      <c r="J27" s="82"/>
      <c r="K27" s="82"/>
      <c r="L27" s="82"/>
      <c r="M27" s="82"/>
      <c r="N27" s="82"/>
      <c r="O27" s="82"/>
      <c r="P27" s="82"/>
      <c r="Q27" s="81"/>
      <c r="R27" s="82"/>
      <c r="S27" s="81"/>
      <c r="T27" s="81">
        <v>43282</v>
      </c>
      <c r="U27" s="265">
        <v>43646</v>
      </c>
      <c r="V27" s="82">
        <f t="shared" si="9"/>
        <v>12</v>
      </c>
      <c r="W27" s="99">
        <v>2.66</v>
      </c>
      <c r="X27" s="82"/>
      <c r="Y27" s="112"/>
      <c r="Z27" s="82"/>
      <c r="AA27" s="83">
        <f t="shared" si="10"/>
        <v>2.66</v>
      </c>
      <c r="AB27" s="84">
        <v>1390000</v>
      </c>
      <c r="AC27" s="84">
        <f t="shared" si="11"/>
        <v>44368800</v>
      </c>
      <c r="AD27" s="85"/>
      <c r="AE27" s="85"/>
      <c r="AF27" s="82"/>
      <c r="AG27" s="82"/>
      <c r="AH27" s="82"/>
      <c r="AI27" s="82"/>
      <c r="AJ27" s="82"/>
      <c r="AK27" s="193"/>
      <c r="AL27" s="82"/>
      <c r="AM27" s="99"/>
      <c r="AN27"/>
      <c r="AO27"/>
      <c r="AP27"/>
      <c r="AQ27"/>
      <c r="AR27"/>
      <c r="AS27"/>
      <c r="AT27"/>
      <c r="AU27"/>
      <c r="AV27"/>
      <c r="AW27"/>
      <c r="AX27"/>
      <c r="AY27"/>
      <c r="AZ27"/>
      <c r="BA27"/>
      <c r="BB27"/>
      <c r="BC27"/>
      <c r="BD27"/>
      <c r="BE27"/>
      <c r="BF27"/>
      <c r="BG27"/>
      <c r="BH27"/>
      <c r="BI27"/>
      <c r="BJ27"/>
      <c r="BK27"/>
      <c r="BL27"/>
      <c r="BM27"/>
      <c r="BN27"/>
      <c r="BO27"/>
      <c r="BP27"/>
      <c r="BQ27"/>
      <c r="BR27"/>
      <c r="BS27"/>
      <c r="BT27"/>
      <c r="BU27"/>
      <c r="BV27"/>
      <c r="BW27"/>
      <c r="BX27"/>
      <c r="BY27"/>
      <c r="BZ27"/>
      <c r="CA27"/>
      <c r="CB27"/>
      <c r="CC27"/>
      <c r="CD27"/>
      <c r="CE27"/>
      <c r="CF27"/>
      <c r="CG27"/>
      <c r="CH27"/>
      <c r="CI27"/>
      <c r="CJ27"/>
      <c r="CK27"/>
      <c r="CL27"/>
      <c r="CM27"/>
      <c r="CN27"/>
      <c r="CO27"/>
      <c r="CP27"/>
      <c r="CQ27"/>
      <c r="CR27"/>
      <c r="CS27"/>
      <c r="CT27"/>
      <c r="CU27"/>
      <c r="CV27"/>
      <c r="CW27"/>
      <c r="CX27"/>
      <c r="CY27"/>
      <c r="CZ27"/>
      <c r="DA27"/>
      <c r="DB27"/>
      <c r="DC27"/>
      <c r="DD27"/>
      <c r="DE27"/>
      <c r="DF27"/>
      <c r="DG27"/>
      <c r="DH27"/>
      <c r="DI27"/>
      <c r="DJ27"/>
      <c r="DK27"/>
      <c r="DL27"/>
      <c r="DM27"/>
      <c r="DN27"/>
      <c r="DO27"/>
      <c r="DP27"/>
      <c r="DQ27"/>
      <c r="DR27"/>
      <c r="DS27"/>
      <c r="DT27"/>
      <c r="DU27"/>
      <c r="DV27"/>
      <c r="DW27"/>
      <c r="DX27"/>
      <c r="DY27"/>
      <c r="DZ27"/>
      <c r="EA27"/>
      <c r="EB27"/>
      <c r="EC27"/>
      <c r="ED27"/>
      <c r="EE27"/>
      <c r="EF27"/>
      <c r="EG27"/>
      <c r="EH27"/>
      <c r="EI27"/>
      <c r="EJ27"/>
      <c r="EK27"/>
      <c r="EL27"/>
      <c r="EM27"/>
      <c r="EN27"/>
      <c r="EO27"/>
      <c r="EP27"/>
      <c r="EQ27"/>
      <c r="ER27"/>
      <c r="ES27"/>
      <c r="ET27"/>
      <c r="EU27"/>
      <c r="EV27"/>
      <c r="EW27"/>
      <c r="EX27"/>
      <c r="EY27"/>
      <c r="EZ27"/>
      <c r="FA27"/>
      <c r="FB27"/>
      <c r="FC27"/>
      <c r="FD27"/>
      <c r="FE27"/>
      <c r="FF27"/>
      <c r="FG27"/>
      <c r="FH27"/>
      <c r="FI27"/>
      <c r="FJ27"/>
      <c r="FK27"/>
      <c r="FL27"/>
      <c r="FM27"/>
      <c r="FN27"/>
      <c r="FO27"/>
      <c r="FP27"/>
      <c r="FQ27"/>
      <c r="FR27"/>
      <c r="FS27"/>
      <c r="FT27"/>
      <c r="FU27"/>
      <c r="FV27"/>
      <c r="FW27"/>
      <c r="FX27"/>
      <c r="FY27"/>
      <c r="FZ27"/>
      <c r="GA27"/>
      <c r="GB27"/>
      <c r="GC27"/>
      <c r="GD27"/>
      <c r="GE27"/>
      <c r="GF27"/>
      <c r="GG27"/>
      <c r="GH27"/>
      <c r="GI27"/>
      <c r="GJ27"/>
      <c r="GK27"/>
      <c r="GL27"/>
      <c r="GM27"/>
      <c r="GN27"/>
      <c r="GO27"/>
      <c r="GP27"/>
      <c r="GQ27"/>
      <c r="GR27"/>
      <c r="GS27"/>
      <c r="GT27"/>
      <c r="GU27"/>
      <c r="GV27"/>
      <c r="GW27"/>
      <c r="GX27"/>
      <c r="GY27"/>
      <c r="GZ27"/>
      <c r="HA27"/>
      <c r="HB27"/>
      <c r="HC27"/>
      <c r="HD27"/>
      <c r="HE27"/>
      <c r="HF27"/>
      <c r="HG27"/>
      <c r="HH27"/>
      <c r="HI27"/>
      <c r="HJ27"/>
      <c r="HK27"/>
      <c r="HL27"/>
      <c r="HM27"/>
      <c r="HN27"/>
      <c r="HO27"/>
      <c r="HP27"/>
      <c r="HQ27"/>
      <c r="HR27"/>
      <c r="HS27"/>
      <c r="HT27"/>
      <c r="HU27"/>
      <c r="HV27"/>
      <c r="HW27"/>
      <c r="HX27"/>
      <c r="HY27"/>
      <c r="HZ27"/>
      <c r="IA27"/>
      <c r="IB27"/>
      <c r="IC27"/>
      <c r="ID27"/>
      <c r="IE27"/>
      <c r="IF27"/>
      <c r="IG27"/>
      <c r="IH27"/>
      <c r="II27"/>
      <c r="IJ27"/>
      <c r="IK27"/>
      <c r="IL27"/>
      <c r="IM27"/>
      <c r="IN27"/>
      <c r="IO27"/>
      <c r="IP27"/>
      <c r="IQ27"/>
      <c r="IR27"/>
      <c r="IS27"/>
      <c r="IT27"/>
      <c r="IU27"/>
      <c r="IV27"/>
    </row>
    <row r="28" spans="1:256" ht="15" customHeight="1" x14ac:dyDescent="0.35">
      <c r="B28" s="96"/>
      <c r="C28" s="266"/>
      <c r="D28" s="99"/>
      <c r="E28" s="99"/>
      <c r="F28" s="82"/>
      <c r="G28" s="80"/>
      <c r="H28" s="82"/>
      <c r="I28" s="82"/>
      <c r="J28" s="82"/>
      <c r="K28" s="82"/>
      <c r="L28" s="82"/>
      <c r="M28" s="82"/>
      <c r="N28" s="82"/>
      <c r="O28" s="82"/>
      <c r="P28" s="82"/>
      <c r="Q28" s="81"/>
      <c r="R28" s="82"/>
      <c r="S28" s="81"/>
      <c r="T28" s="81">
        <v>43647</v>
      </c>
      <c r="U28" s="265">
        <v>43860</v>
      </c>
      <c r="V28" s="82">
        <f>ROUND(DAYS360(T28,U28,0)/30,0)</f>
        <v>7</v>
      </c>
      <c r="W28" s="99">
        <v>2.66</v>
      </c>
      <c r="X28" s="82"/>
      <c r="Y28" s="112"/>
      <c r="Z28" s="82"/>
      <c r="AA28" s="83">
        <f>W28+X28+Y28*W28+(W28+X28+Y28*W28)*Z28</f>
        <v>2.66</v>
      </c>
      <c r="AB28" s="84">
        <v>1490000</v>
      </c>
      <c r="AC28" s="84">
        <f>V28*AA28*AB28</f>
        <v>27743800</v>
      </c>
      <c r="AD28" s="85"/>
      <c r="AE28" s="85"/>
      <c r="AF28" s="82"/>
      <c r="AG28" s="82"/>
      <c r="AH28" s="82"/>
      <c r="AI28" s="82"/>
      <c r="AJ28" s="82"/>
      <c r="AK28" s="193"/>
      <c r="AL28" s="82"/>
      <c r="AM28" s="99"/>
    </row>
    <row r="29" spans="1:256" ht="15" customHeight="1" x14ac:dyDescent="0.35">
      <c r="B29" s="96"/>
      <c r="C29" s="266"/>
      <c r="D29" s="99"/>
      <c r="E29" s="99"/>
      <c r="F29" s="82"/>
      <c r="G29" s="80"/>
      <c r="H29" s="82"/>
      <c r="I29" s="82"/>
      <c r="J29" s="82"/>
      <c r="K29" s="82"/>
      <c r="L29" s="82"/>
      <c r="M29" s="82"/>
      <c r="N29" s="82"/>
      <c r="O29" s="82"/>
      <c r="P29" s="82"/>
      <c r="Q29" s="81"/>
      <c r="R29" s="82"/>
      <c r="S29" s="81"/>
      <c r="T29" s="81">
        <v>43862</v>
      </c>
      <c r="U29" s="265">
        <v>44591</v>
      </c>
      <c r="V29" s="82">
        <f t="shared" ref="V29" si="12">ROUND(DAYS360(T29,U29,0)/30,0)</f>
        <v>24</v>
      </c>
      <c r="W29" s="99">
        <v>2.86</v>
      </c>
      <c r="X29" s="82"/>
      <c r="Y29" s="112"/>
      <c r="Z29" s="82"/>
      <c r="AA29" s="83">
        <f t="shared" ref="AA29" si="13">W29+X29+Y29*W29+(W29+X29+Y29*W29)*Z29</f>
        <v>2.86</v>
      </c>
      <c r="AB29" s="84">
        <v>1490000</v>
      </c>
      <c r="AC29" s="84">
        <f t="shared" ref="AC29" si="14">V29*AA29*AB29</f>
        <v>102273600</v>
      </c>
      <c r="AD29" s="85"/>
      <c r="AE29" s="85"/>
      <c r="AF29" s="82"/>
      <c r="AG29" s="82"/>
      <c r="AH29" s="82"/>
      <c r="AI29" s="82"/>
      <c r="AJ29" s="82"/>
      <c r="AK29" s="193"/>
      <c r="AL29" s="82"/>
      <c r="AM29" s="99"/>
    </row>
    <row r="30" spans="1:256" ht="15" customHeight="1" x14ac:dyDescent="0.35">
      <c r="B30" s="96"/>
      <c r="C30" s="266"/>
      <c r="D30" s="99"/>
      <c r="E30" s="99"/>
      <c r="F30" s="82"/>
      <c r="G30" s="80"/>
      <c r="H30" s="82"/>
      <c r="I30" s="82"/>
      <c r="J30" s="82"/>
      <c r="K30" s="82"/>
      <c r="L30" s="82"/>
      <c r="M30" s="82"/>
      <c r="N30" s="82"/>
      <c r="O30" s="82"/>
      <c r="P30" s="82"/>
      <c r="Q30" s="81"/>
      <c r="R30" s="82"/>
      <c r="S30" s="81"/>
      <c r="T30" s="81">
        <v>44593</v>
      </c>
      <c r="U30" s="265">
        <v>44925</v>
      </c>
      <c r="V30" s="82">
        <f t="shared" si="9"/>
        <v>11</v>
      </c>
      <c r="W30" s="99">
        <v>3.06</v>
      </c>
      <c r="X30" s="82"/>
      <c r="Y30" s="112"/>
      <c r="Z30" s="82"/>
      <c r="AA30" s="83">
        <f t="shared" si="10"/>
        <v>3.06</v>
      </c>
      <c r="AB30" s="84">
        <v>1490000</v>
      </c>
      <c r="AC30" s="84">
        <f t="shared" si="11"/>
        <v>50153400.000000007</v>
      </c>
      <c r="AD30" s="85"/>
      <c r="AE30" s="85"/>
      <c r="AF30" s="82"/>
      <c r="AG30" s="82"/>
      <c r="AH30" s="82"/>
      <c r="AI30" s="82"/>
      <c r="AJ30" s="82"/>
      <c r="AK30" s="193"/>
      <c r="AL30" s="82"/>
      <c r="AM30" s="99"/>
    </row>
    <row r="31" spans="1:256" x14ac:dyDescent="0.35">
      <c r="B31" s="89"/>
      <c r="C31" s="268"/>
      <c r="D31" s="91"/>
      <c r="E31" s="91"/>
      <c r="F31" s="91"/>
      <c r="G31" s="90"/>
      <c r="H31" s="91"/>
      <c r="I31" s="91"/>
      <c r="J31" s="91"/>
      <c r="K31" s="91"/>
      <c r="L31" s="91"/>
      <c r="M31" s="91"/>
      <c r="N31" s="91"/>
      <c r="O31" s="91"/>
      <c r="P31" s="91"/>
      <c r="Q31" s="92"/>
      <c r="R31" s="91"/>
      <c r="S31" s="91"/>
      <c r="T31" s="92"/>
      <c r="U31" s="92"/>
      <c r="V31" s="91">
        <f>SUM(V25:V30)</f>
        <v>60</v>
      </c>
      <c r="W31" s="93"/>
      <c r="X31" s="92"/>
      <c r="Y31" s="92"/>
      <c r="Z31" s="92"/>
      <c r="AA31" s="93"/>
      <c r="AB31" s="94"/>
      <c r="AC31" s="94">
        <f>SUM(AC25:AC30)</f>
        <v>245027600</v>
      </c>
      <c r="AD31" s="91"/>
      <c r="AE31" s="91"/>
      <c r="AF31" s="91"/>
      <c r="AG31" s="91"/>
      <c r="AH31" s="91"/>
      <c r="AI31" s="91"/>
      <c r="AJ31" s="91"/>
      <c r="AK31" s="194"/>
      <c r="AL31" s="91"/>
      <c r="AM31" s="91"/>
    </row>
    <row r="32" spans="1:256" s="174" customFormat="1" x14ac:dyDescent="0.35">
      <c r="A32" s="116" t="s">
        <v>404</v>
      </c>
      <c r="B32" s="96">
        <v>1</v>
      </c>
      <c r="C32" s="445" t="s">
        <v>715</v>
      </c>
      <c r="D32" s="401">
        <v>28842</v>
      </c>
      <c r="E32" s="401">
        <v>28856</v>
      </c>
      <c r="F32" s="99"/>
      <c r="G32" s="214" t="s">
        <v>716</v>
      </c>
      <c r="H32" s="263">
        <v>2.86</v>
      </c>
      <c r="I32" s="262">
        <v>44378</v>
      </c>
      <c r="J32" s="154"/>
      <c r="K32" s="262"/>
      <c r="L32" s="264"/>
      <c r="M32" s="262"/>
      <c r="N32" s="264"/>
      <c r="O32" s="262"/>
      <c r="P32" s="154"/>
      <c r="Q32" s="154"/>
      <c r="R32" s="263">
        <v>2.66</v>
      </c>
      <c r="S32" s="262">
        <v>43647</v>
      </c>
      <c r="T32" s="98">
        <f>EDATE(AH32,-60)</f>
        <v>43101</v>
      </c>
      <c r="U32" s="98">
        <v>43281</v>
      </c>
      <c r="V32" s="99">
        <f t="shared" ref="V32" si="15">ROUND(DAYS360(T32,U32,0)/30,0)</f>
        <v>6</v>
      </c>
      <c r="W32" s="99">
        <v>2.46</v>
      </c>
      <c r="X32" s="225"/>
      <c r="Y32" s="99"/>
      <c r="Z32" s="99"/>
      <c r="AA32" s="100">
        <f t="shared" ref="AA32" si="16">W32+X32+Y32*W32+(W32+X32+Y32*W32)*Z32</f>
        <v>2.46</v>
      </c>
      <c r="AB32" s="101">
        <v>1300000</v>
      </c>
      <c r="AC32" s="101">
        <f t="shared" ref="AC32" si="17">V32*AA32*AB32</f>
        <v>19188000</v>
      </c>
      <c r="AD32" s="103">
        <f>AA35*AB35</f>
        <v>4261400</v>
      </c>
      <c r="AE32" s="226">
        <f>AC36/V36</f>
        <v>3867460</v>
      </c>
      <c r="AF32" s="99" t="s">
        <v>717</v>
      </c>
      <c r="AG32" s="99" t="s">
        <v>717</v>
      </c>
      <c r="AH32" s="98" t="s">
        <v>696</v>
      </c>
      <c r="AI32" s="98">
        <f>DATE(YEAR(D32),MONTH(D32)+1,1)</f>
        <v>28856</v>
      </c>
      <c r="AJ32" s="99" t="str">
        <f>DATEDIF(AI32,AH32,"y")&amp;"t"&amp;DATEDIF(AI32,AH32,"ym")&amp;"th"</f>
        <v>44t0th</v>
      </c>
      <c r="AK32" s="192">
        <f>SUM(AL32:AM32)</f>
        <v>117205620</v>
      </c>
      <c r="AL32" s="103">
        <f>ROUND(3*AD32,0)</f>
        <v>12784200</v>
      </c>
      <c r="AM32" s="163">
        <f>ROUND((VALUE(LEFT(AF32,2)+IF(LEN(AF32)&lt;4,0,IF(VALUE(MID(AF32,4,LEN(AF32)-4))&gt;6,1,IF(VALUE(MID(AF32,4,LEN(AF32)-4))&gt;2,0.5,0)))))*AE32*1.5,0)</f>
        <v>104421420</v>
      </c>
      <c r="AN32"/>
      <c r="AO32"/>
      <c r="AP32"/>
      <c r="AQ32"/>
      <c r="AR32"/>
      <c r="AS32"/>
      <c r="AT32"/>
      <c r="AU32"/>
      <c r="AV32"/>
      <c r="AW32"/>
      <c r="AX32"/>
      <c r="AY32"/>
      <c r="AZ32"/>
      <c r="BA32"/>
      <c r="BB32"/>
      <c r="BC32"/>
      <c r="BD32"/>
      <c r="BE32"/>
      <c r="BF32"/>
      <c r="BG32"/>
      <c r="BH32"/>
      <c r="BI32"/>
      <c r="BJ32"/>
      <c r="BK32"/>
      <c r="BL32"/>
      <c r="BM32"/>
      <c r="BN32"/>
      <c r="BO32"/>
      <c r="BP32"/>
      <c r="BQ32"/>
      <c r="BR32"/>
      <c r="BS32"/>
      <c r="BT32"/>
      <c r="BU32"/>
      <c r="BV32"/>
      <c r="BW32"/>
      <c r="BX32"/>
      <c r="BY32"/>
      <c r="BZ32"/>
      <c r="CA32"/>
      <c r="CB32"/>
      <c r="CC32"/>
      <c r="CD32"/>
      <c r="CE32"/>
      <c r="CF32"/>
      <c r="CG32"/>
      <c r="CH32"/>
      <c r="CI32"/>
      <c r="CJ32"/>
      <c r="CK32"/>
      <c r="CL32"/>
      <c r="CM32"/>
      <c r="CN32"/>
      <c r="CO32"/>
      <c r="CP32"/>
      <c r="CQ32"/>
      <c r="CR32"/>
      <c r="CS32"/>
      <c r="CT32"/>
      <c r="CU32"/>
      <c r="CV32"/>
      <c r="CW32"/>
      <c r="CX32"/>
      <c r="CY32"/>
      <c r="CZ32"/>
      <c r="DA32"/>
      <c r="DB32"/>
      <c r="DC32"/>
      <c r="DD32"/>
      <c r="DE32"/>
      <c r="DF32"/>
      <c r="DG32"/>
      <c r="DH32"/>
      <c r="DI32"/>
      <c r="DJ32"/>
      <c r="DK32"/>
      <c r="DL32"/>
      <c r="DM32"/>
      <c r="DN32"/>
      <c r="DO32"/>
      <c r="DP32"/>
      <c r="DQ32"/>
      <c r="DR32"/>
      <c r="DS32"/>
      <c r="DT32"/>
      <c r="DU32"/>
      <c r="DV32"/>
      <c r="DW32"/>
      <c r="DX32"/>
      <c r="DY32"/>
      <c r="DZ32"/>
      <c r="EA32"/>
      <c r="EB32"/>
      <c r="EC32"/>
      <c r="ED32"/>
      <c r="EE32"/>
      <c r="EF32"/>
      <c r="EG32"/>
      <c r="EH32"/>
      <c r="EI32"/>
      <c r="EJ32"/>
      <c r="EK32"/>
      <c r="EL32"/>
      <c r="EM32"/>
      <c r="EN32"/>
      <c r="EO32"/>
      <c r="EP32"/>
      <c r="EQ32"/>
      <c r="ER32"/>
      <c r="ES32"/>
      <c r="ET32"/>
      <c r="EU32"/>
      <c r="EV32"/>
      <c r="EW32"/>
      <c r="EX32"/>
      <c r="EY32"/>
      <c r="EZ32"/>
      <c r="FA32"/>
      <c r="FB32"/>
      <c r="FC32"/>
      <c r="FD32"/>
      <c r="FE32"/>
      <c r="FF32"/>
      <c r="FG32"/>
      <c r="FH32"/>
      <c r="FI32"/>
      <c r="FJ32"/>
      <c r="FK32"/>
      <c r="FL32"/>
      <c r="FM32"/>
      <c r="FN32"/>
      <c r="FO32"/>
      <c r="FP32"/>
      <c r="FQ32"/>
      <c r="FR32"/>
      <c r="FS32"/>
      <c r="FT32"/>
      <c r="FU32"/>
      <c r="FV32"/>
      <c r="FW32"/>
      <c r="FX32"/>
      <c r="FY32"/>
      <c r="FZ32"/>
      <c r="GA32"/>
      <c r="GB32"/>
      <c r="GC32"/>
      <c r="GD32"/>
      <c r="GE32"/>
      <c r="GF32"/>
      <c r="GG32"/>
      <c r="GH32"/>
      <c r="GI32"/>
      <c r="GJ32"/>
      <c r="GK32"/>
      <c r="GL32"/>
      <c r="GM32"/>
      <c r="GN32"/>
      <c r="GO32"/>
      <c r="GP32"/>
      <c r="GQ32"/>
      <c r="GR32"/>
      <c r="GS32"/>
      <c r="GT32"/>
      <c r="GU32"/>
      <c r="GV32"/>
      <c r="GW32"/>
      <c r="GX32"/>
      <c r="GY32"/>
      <c r="GZ32"/>
      <c r="HA32"/>
      <c r="HB32"/>
      <c r="HC32"/>
      <c r="HD32"/>
      <c r="HE32"/>
      <c r="HF32"/>
      <c r="HG32"/>
      <c r="HH32"/>
      <c r="HI32"/>
      <c r="HJ32"/>
      <c r="HK32"/>
      <c r="HL32"/>
      <c r="HM32"/>
      <c r="HN32"/>
      <c r="HO32"/>
      <c r="HP32"/>
      <c r="HQ32"/>
      <c r="HR32"/>
      <c r="HS32"/>
      <c r="HT32"/>
      <c r="HU32"/>
      <c r="HV32"/>
      <c r="HW32"/>
      <c r="HX32"/>
      <c r="HY32"/>
      <c r="HZ32"/>
      <c r="IA32"/>
      <c r="IB32"/>
      <c r="IC32"/>
      <c r="ID32"/>
      <c r="IE32"/>
      <c r="IF32"/>
      <c r="IG32"/>
      <c r="IH32"/>
      <c r="II32"/>
      <c r="IJ32"/>
      <c r="IK32"/>
      <c r="IL32"/>
      <c r="IM32"/>
      <c r="IN32"/>
      <c r="IO32"/>
      <c r="IP32"/>
      <c r="IQ32"/>
      <c r="IR32"/>
      <c r="IS32"/>
      <c r="IT32"/>
      <c r="IU32"/>
      <c r="IV32"/>
    </row>
    <row r="33" spans="1:256" s="174" customFormat="1" x14ac:dyDescent="0.35">
      <c r="A33" s="116"/>
      <c r="B33" s="96"/>
      <c r="C33" s="266"/>
      <c r="D33" s="99"/>
      <c r="E33" s="99"/>
      <c r="F33" s="82"/>
      <c r="G33" s="80"/>
      <c r="H33" s="82"/>
      <c r="I33" s="82"/>
      <c r="J33" s="82"/>
      <c r="K33" s="82"/>
      <c r="L33" s="82"/>
      <c r="M33" s="82"/>
      <c r="N33" s="82"/>
      <c r="O33" s="82"/>
      <c r="P33" s="82"/>
      <c r="Q33" s="81"/>
      <c r="R33" s="82"/>
      <c r="S33" s="81"/>
      <c r="T33" s="81">
        <v>43282</v>
      </c>
      <c r="U33" s="265">
        <v>43646</v>
      </c>
      <c r="V33" s="82">
        <f>ROUND(DAYS360(T33,U33,0)/30,0)</f>
        <v>12</v>
      </c>
      <c r="W33" s="99">
        <v>2.46</v>
      </c>
      <c r="X33" s="225"/>
      <c r="Y33" s="112"/>
      <c r="Z33" s="82"/>
      <c r="AA33" s="83">
        <f>W33+X33+Y33*W33+(W33+X33+Y33*W33)*Z33</f>
        <v>2.46</v>
      </c>
      <c r="AB33" s="84">
        <v>1390000</v>
      </c>
      <c r="AC33" s="84">
        <f>V33*AA33*AB33</f>
        <v>41032800</v>
      </c>
      <c r="AD33" s="85"/>
      <c r="AE33" s="85"/>
      <c r="AF33" s="82"/>
      <c r="AG33" s="82"/>
      <c r="AH33" s="82"/>
      <c r="AI33" s="82"/>
      <c r="AJ33" s="82"/>
      <c r="AK33" s="193"/>
      <c r="AL33" s="82"/>
      <c r="AM33" s="99"/>
      <c r="AN33"/>
      <c r="AO33"/>
      <c r="AP33"/>
      <c r="AQ33"/>
      <c r="AR33"/>
      <c r="AS33"/>
      <c r="AT33"/>
      <c r="AU33"/>
      <c r="AV33"/>
      <c r="AW33"/>
      <c r="AX33"/>
      <c r="AY33"/>
      <c r="AZ33"/>
      <c r="BA33"/>
      <c r="BB33"/>
      <c r="BC33"/>
      <c r="BD33"/>
      <c r="BE33"/>
      <c r="BF33"/>
      <c r="BG33"/>
      <c r="BH33"/>
      <c r="BI33"/>
      <c r="BJ33"/>
      <c r="BK33"/>
      <c r="BL33"/>
      <c r="BM33"/>
      <c r="BN33"/>
      <c r="BO33"/>
      <c r="BP33"/>
      <c r="BQ33"/>
      <c r="BR33"/>
      <c r="BS33"/>
      <c r="BT33"/>
      <c r="BU33"/>
      <c r="BV33"/>
      <c r="BW33"/>
      <c r="BX33"/>
      <c r="BY33"/>
      <c r="BZ33"/>
      <c r="CA33"/>
      <c r="CB33"/>
      <c r="CC33"/>
      <c r="CD33"/>
      <c r="CE33"/>
      <c r="CF33"/>
      <c r="CG33"/>
      <c r="CH33"/>
      <c r="CI33"/>
      <c r="CJ33"/>
      <c r="CK33"/>
      <c r="CL33"/>
      <c r="CM33"/>
      <c r="CN33"/>
      <c r="CO33"/>
      <c r="CP33"/>
      <c r="CQ33"/>
      <c r="CR33"/>
      <c r="CS33"/>
      <c r="CT33"/>
      <c r="CU33"/>
      <c r="CV33"/>
      <c r="CW33"/>
      <c r="CX33"/>
      <c r="CY33"/>
      <c r="CZ33"/>
      <c r="DA33"/>
      <c r="DB33"/>
      <c r="DC33"/>
      <c r="DD33"/>
      <c r="DE33"/>
      <c r="DF33"/>
      <c r="DG33"/>
      <c r="DH33"/>
      <c r="DI33"/>
      <c r="DJ33"/>
      <c r="DK33"/>
      <c r="DL33"/>
      <c r="DM33"/>
      <c r="DN33"/>
      <c r="DO33"/>
      <c r="DP33"/>
      <c r="DQ33"/>
      <c r="DR33"/>
      <c r="DS33"/>
      <c r="DT33"/>
      <c r="DU33"/>
      <c r="DV33"/>
      <c r="DW33"/>
      <c r="DX33"/>
      <c r="DY33"/>
      <c r="DZ33"/>
      <c r="EA33"/>
      <c r="EB33"/>
      <c r="EC33"/>
      <c r="ED33"/>
      <c r="EE33"/>
      <c r="EF33"/>
      <c r="EG33"/>
      <c r="EH33"/>
      <c r="EI33"/>
      <c r="EJ33"/>
      <c r="EK33"/>
      <c r="EL33"/>
      <c r="EM33"/>
      <c r="EN33"/>
      <c r="EO33"/>
      <c r="EP33"/>
      <c r="EQ33"/>
      <c r="ER33"/>
      <c r="ES33"/>
      <c r="ET33"/>
      <c r="EU33"/>
      <c r="EV33"/>
      <c r="EW33"/>
      <c r="EX33"/>
      <c r="EY33"/>
      <c r="EZ33"/>
      <c r="FA33"/>
      <c r="FB33"/>
      <c r="FC33"/>
      <c r="FD33"/>
      <c r="FE33"/>
      <c r="FF33"/>
      <c r="FG33"/>
      <c r="FH33"/>
      <c r="FI33"/>
      <c r="FJ33"/>
      <c r="FK33"/>
      <c r="FL33"/>
      <c r="FM33"/>
      <c r="FN33"/>
      <c r="FO33"/>
      <c r="FP33"/>
      <c r="FQ33"/>
      <c r="FR33"/>
      <c r="FS33"/>
      <c r="FT33"/>
      <c r="FU33"/>
      <c r="FV33"/>
      <c r="FW33"/>
      <c r="FX33"/>
      <c r="FY33"/>
      <c r="FZ33"/>
      <c r="GA33"/>
      <c r="GB33"/>
      <c r="GC33"/>
      <c r="GD33"/>
      <c r="GE33"/>
      <c r="GF33"/>
      <c r="GG33"/>
      <c r="GH33"/>
      <c r="GI33"/>
      <c r="GJ33"/>
      <c r="GK33"/>
      <c r="GL33"/>
      <c r="GM33"/>
      <c r="GN33"/>
      <c r="GO33"/>
      <c r="GP33"/>
      <c r="GQ33"/>
      <c r="GR33"/>
      <c r="GS33"/>
      <c r="GT33"/>
      <c r="GU33"/>
      <c r="GV33"/>
      <c r="GW33"/>
      <c r="GX33"/>
      <c r="GY33"/>
      <c r="GZ33"/>
      <c r="HA33"/>
      <c r="HB33"/>
      <c r="HC33"/>
      <c r="HD33"/>
      <c r="HE33"/>
      <c r="HF33"/>
      <c r="HG33"/>
      <c r="HH33"/>
      <c r="HI33"/>
      <c r="HJ33"/>
      <c r="HK33"/>
      <c r="HL33"/>
      <c r="HM33"/>
      <c r="HN33"/>
      <c r="HO33"/>
      <c r="HP33"/>
      <c r="HQ33"/>
      <c r="HR33"/>
      <c r="HS33"/>
      <c r="HT33"/>
      <c r="HU33"/>
      <c r="HV33"/>
      <c r="HW33"/>
      <c r="HX33"/>
      <c r="HY33"/>
      <c r="HZ33"/>
      <c r="IA33"/>
      <c r="IB33"/>
      <c r="IC33"/>
      <c r="ID33"/>
      <c r="IE33"/>
      <c r="IF33"/>
      <c r="IG33"/>
      <c r="IH33"/>
      <c r="II33"/>
      <c r="IJ33"/>
      <c r="IK33"/>
      <c r="IL33"/>
      <c r="IM33"/>
      <c r="IN33"/>
      <c r="IO33"/>
      <c r="IP33"/>
      <c r="IQ33"/>
      <c r="IR33"/>
      <c r="IS33"/>
      <c r="IT33"/>
      <c r="IU33"/>
      <c r="IV33"/>
    </row>
    <row r="34" spans="1:256" ht="15" customHeight="1" x14ac:dyDescent="0.35">
      <c r="B34" s="96"/>
      <c r="C34" s="266"/>
      <c r="D34" s="99"/>
      <c r="E34" s="99"/>
      <c r="F34" s="82"/>
      <c r="G34" s="80"/>
      <c r="H34" s="82"/>
      <c r="I34" s="82"/>
      <c r="J34" s="82"/>
      <c r="K34" s="82"/>
      <c r="L34" s="82"/>
      <c r="M34" s="82"/>
      <c r="N34" s="82"/>
      <c r="O34" s="82"/>
      <c r="P34" s="82"/>
      <c r="Q34" s="81"/>
      <c r="R34" s="82"/>
      <c r="S34" s="81"/>
      <c r="T34" s="81">
        <v>43647</v>
      </c>
      <c r="U34" s="265">
        <v>44377</v>
      </c>
      <c r="V34" s="82">
        <f>ROUND(DAYS360(T34,U34,0)/30,0)</f>
        <v>24</v>
      </c>
      <c r="W34" s="82">
        <v>2.66</v>
      </c>
      <c r="X34" s="225"/>
      <c r="Y34" s="112"/>
      <c r="Z34" s="82"/>
      <c r="AA34" s="83">
        <f>W34+X34+Y34*W34+(W34+X34+Y34*W34)*Z34</f>
        <v>2.66</v>
      </c>
      <c r="AB34" s="84">
        <v>1490000</v>
      </c>
      <c r="AC34" s="84">
        <f>V34*AA34*AB34</f>
        <v>95121600</v>
      </c>
      <c r="AD34" s="85"/>
      <c r="AE34" s="85"/>
      <c r="AF34" s="82"/>
      <c r="AG34" s="82"/>
      <c r="AH34" s="82"/>
      <c r="AI34" s="82"/>
      <c r="AJ34" s="82"/>
      <c r="AK34" s="193"/>
      <c r="AL34" s="82"/>
      <c r="AM34" s="99"/>
    </row>
    <row r="35" spans="1:256" ht="15" customHeight="1" x14ac:dyDescent="0.35">
      <c r="B35" s="96"/>
      <c r="C35" s="266"/>
      <c r="D35" s="99"/>
      <c r="E35" s="99"/>
      <c r="F35" s="82"/>
      <c r="G35" s="80"/>
      <c r="H35" s="82"/>
      <c r="I35" s="82"/>
      <c r="J35" s="82"/>
      <c r="K35" s="82"/>
      <c r="L35" s="82"/>
      <c r="M35" s="82"/>
      <c r="N35" s="82"/>
      <c r="O35" s="82"/>
      <c r="P35" s="82"/>
      <c r="Q35" s="81"/>
      <c r="R35" s="82"/>
      <c r="S35" s="81"/>
      <c r="T35" s="81">
        <v>44378</v>
      </c>
      <c r="U35" s="265">
        <v>44925</v>
      </c>
      <c r="V35" s="82">
        <f>ROUND(DAYS360(T35,U35,0)/30,0)</f>
        <v>18</v>
      </c>
      <c r="W35" s="82">
        <v>2.86</v>
      </c>
      <c r="X35" s="225"/>
      <c r="Y35" s="112"/>
      <c r="Z35" s="82"/>
      <c r="AA35" s="83">
        <f>W35+X35+Y35*W35+(W35+X35+Y35*W35)*Z35</f>
        <v>2.86</v>
      </c>
      <c r="AB35" s="84">
        <v>1490000</v>
      </c>
      <c r="AC35" s="84">
        <f>V35*AA35*AB35</f>
        <v>76705200</v>
      </c>
      <c r="AD35" s="85"/>
      <c r="AE35" s="85"/>
      <c r="AF35" s="82"/>
      <c r="AG35" s="82"/>
      <c r="AH35" s="82"/>
      <c r="AI35" s="82"/>
      <c r="AJ35" s="82"/>
      <c r="AK35" s="193"/>
      <c r="AL35" s="82"/>
      <c r="AM35" s="99"/>
    </row>
    <row r="36" spans="1:256" x14ac:dyDescent="0.35">
      <c r="B36" s="89"/>
      <c r="C36" s="268"/>
      <c r="D36" s="91"/>
      <c r="E36" s="91"/>
      <c r="F36" s="91"/>
      <c r="G36" s="90"/>
      <c r="H36" s="91"/>
      <c r="I36" s="91"/>
      <c r="J36" s="91"/>
      <c r="K36" s="91"/>
      <c r="L36" s="91"/>
      <c r="M36" s="91"/>
      <c r="N36" s="91"/>
      <c r="O36" s="91"/>
      <c r="P36" s="91"/>
      <c r="Q36" s="92"/>
      <c r="R36" s="91"/>
      <c r="S36" s="91"/>
      <c r="T36" s="92"/>
      <c r="U36" s="92"/>
      <c r="V36" s="91">
        <f>SUM(V32:V35)</f>
        <v>60</v>
      </c>
      <c r="W36" s="93"/>
      <c r="X36" s="92"/>
      <c r="Y36" s="92"/>
      <c r="Z36" s="92"/>
      <c r="AA36" s="93"/>
      <c r="AB36" s="94"/>
      <c r="AC36" s="94">
        <f>SUM(AC32:AC35)</f>
        <v>232047600</v>
      </c>
      <c r="AD36" s="91"/>
      <c r="AE36" s="91"/>
      <c r="AF36" s="91"/>
      <c r="AG36" s="91"/>
      <c r="AH36" s="91"/>
      <c r="AI36" s="91"/>
      <c r="AJ36" s="91"/>
      <c r="AK36" s="194"/>
      <c r="AL36" s="91"/>
      <c r="AM36" s="91"/>
    </row>
    <row r="42" spans="1:256" ht="54" customHeight="1" x14ac:dyDescent="0.35"/>
    <row r="51" spans="1:39" x14ac:dyDescent="0.35">
      <c r="A51" s="116" t="s">
        <v>389</v>
      </c>
      <c r="B51" s="96">
        <v>3</v>
      </c>
      <c r="C51" s="290" t="s">
        <v>437</v>
      </c>
      <c r="D51" s="98">
        <v>22900</v>
      </c>
      <c r="E51" s="98"/>
      <c r="F51" s="99"/>
      <c r="G51" s="97" t="s">
        <v>438</v>
      </c>
      <c r="H51" s="100">
        <v>2.4500000000000002</v>
      </c>
      <c r="I51" s="98">
        <v>40057</v>
      </c>
      <c r="J51" s="99"/>
      <c r="K51" s="98"/>
      <c r="L51" s="99"/>
      <c r="M51" s="99"/>
      <c r="N51" s="141"/>
      <c r="O51" s="98"/>
      <c r="P51" s="100"/>
      <c r="Q51" s="98"/>
      <c r="R51" s="100"/>
      <c r="S51" s="98"/>
      <c r="T51" s="98">
        <f>EDATE(AH51,-60)</f>
        <v>40878</v>
      </c>
      <c r="U51" s="98">
        <v>41029</v>
      </c>
      <c r="V51" s="99">
        <f>ROUND(DAYS360(T51,U51,0)/30,0)</f>
        <v>5</v>
      </c>
      <c r="W51" s="99">
        <v>2.4500000000000002</v>
      </c>
      <c r="X51" s="99"/>
      <c r="Y51" s="99"/>
      <c r="Z51" s="99"/>
      <c r="AA51" s="100">
        <f>W51+X51+Y51*W51+(W51+X51+Y51*W51)*Z51</f>
        <v>2.4500000000000002</v>
      </c>
      <c r="AB51" s="101">
        <v>830000</v>
      </c>
      <c r="AC51" s="101">
        <f>V51*AA51*AB51</f>
        <v>10167500</v>
      </c>
      <c r="AD51" s="85">
        <f>AA54*AB54</f>
        <v>2964500</v>
      </c>
      <c r="AE51" s="226">
        <f>AC55/V55</f>
        <v>2712150.0000000005</v>
      </c>
      <c r="AF51" s="99" t="s">
        <v>439</v>
      </c>
      <c r="AG51" s="99"/>
      <c r="AH51" s="98">
        <v>42705</v>
      </c>
      <c r="AI51" s="98">
        <f>DATE(YEAR(D51),MONTH(D51)+1,1)</f>
        <v>22920</v>
      </c>
      <c r="AJ51" s="99" t="str">
        <f>DATEDIF(AI51,AH51,"y")&amp;"t"&amp;DATEDIF(AI51,AH51,"ym")&amp;"th"</f>
        <v>54t2th</v>
      </c>
      <c r="AK51" s="192">
        <f>SUM(AL51:AM51)</f>
        <v>59746313</v>
      </c>
      <c r="AL51" s="103">
        <f>ROUND(3*AD51,0)</f>
        <v>8893500</v>
      </c>
      <c r="AM51" s="103">
        <f>ROUND((VALUE(LEFT(AF51,2)+IF(LEN(AF51)&lt;4,0,IF(VALUE(MID(AF51,4,LEN(AF51)-4))&gt;6,1,IF(VALUE(MID(AF51,4,LEN(AF51)-4))&gt;2,0.5,0)))))*AE51*1.5,0)</f>
        <v>50852813</v>
      </c>
    </row>
    <row r="52" spans="1:39" x14ac:dyDescent="0.35">
      <c r="B52" s="79"/>
      <c r="C52" s="80"/>
      <c r="D52" s="82"/>
      <c r="E52" s="82"/>
      <c r="F52" s="82"/>
      <c r="G52" s="80"/>
      <c r="H52" s="82"/>
      <c r="I52" s="82"/>
      <c r="J52" s="82"/>
      <c r="K52" s="82"/>
      <c r="L52" s="82"/>
      <c r="M52" s="82"/>
      <c r="N52" s="82"/>
      <c r="O52" s="82"/>
      <c r="P52" s="82"/>
      <c r="Q52" s="81"/>
      <c r="R52" s="82"/>
      <c r="S52" s="81"/>
      <c r="T52" s="81">
        <v>41030</v>
      </c>
      <c r="U52" s="81">
        <v>41455</v>
      </c>
      <c r="V52" s="82">
        <f>ROUND(DAYS360(T52,U52,0)/30,0)</f>
        <v>14</v>
      </c>
      <c r="W52" s="99">
        <v>2.4500000000000002</v>
      </c>
      <c r="X52" s="82"/>
      <c r="Y52" s="82"/>
      <c r="Z52" s="82"/>
      <c r="AA52" s="83">
        <f>W52+X52+Y52*W52+(W52+X52+Y52*W52)*Z52</f>
        <v>2.4500000000000002</v>
      </c>
      <c r="AB52" s="84">
        <v>1050000</v>
      </c>
      <c r="AC52" s="84">
        <f>V52*AA52*AB52</f>
        <v>36015000.000000007</v>
      </c>
      <c r="AD52" s="85"/>
      <c r="AE52" s="85"/>
      <c r="AF52" s="82"/>
      <c r="AG52" s="82"/>
      <c r="AH52" s="82"/>
      <c r="AI52" s="82"/>
      <c r="AJ52" s="82"/>
      <c r="AK52" s="193"/>
      <c r="AL52" s="82"/>
      <c r="AM52" s="82"/>
    </row>
    <row r="53" spans="1:39" x14ac:dyDescent="0.35">
      <c r="B53" s="79"/>
      <c r="C53" s="80"/>
      <c r="D53" s="82"/>
      <c r="E53" s="82"/>
      <c r="F53" s="82"/>
      <c r="G53" s="80"/>
      <c r="H53" s="82"/>
      <c r="I53" s="82"/>
      <c r="J53" s="82"/>
      <c r="K53" s="82"/>
      <c r="L53" s="82"/>
      <c r="M53" s="82"/>
      <c r="N53" s="82"/>
      <c r="O53" s="82"/>
      <c r="P53" s="82"/>
      <c r="Q53" s="81"/>
      <c r="R53" s="82"/>
      <c r="S53" s="81"/>
      <c r="T53" s="81">
        <v>41456</v>
      </c>
      <c r="U53" s="81">
        <v>42490</v>
      </c>
      <c r="V53" s="82">
        <f>ROUND(DAYS360(T53,U53,0)/30,0)</f>
        <v>34</v>
      </c>
      <c r="W53" s="99">
        <v>2.4500000000000002</v>
      </c>
      <c r="X53" s="82"/>
      <c r="Y53" s="82"/>
      <c r="Z53" s="82"/>
      <c r="AA53" s="83">
        <f>W53+X53+Y53*W53+(W53+X53+Y53*W53)*Z53</f>
        <v>2.4500000000000002</v>
      </c>
      <c r="AB53" s="84">
        <v>1150000</v>
      </c>
      <c r="AC53" s="84">
        <f>V53*AA53*AB53</f>
        <v>95795000.000000015</v>
      </c>
      <c r="AD53" s="85"/>
      <c r="AE53" s="85"/>
      <c r="AF53" s="82"/>
      <c r="AG53" s="82"/>
      <c r="AH53" s="82"/>
      <c r="AI53" s="82"/>
      <c r="AJ53" s="82"/>
      <c r="AK53" s="193"/>
      <c r="AL53" s="82"/>
      <c r="AM53" s="82"/>
    </row>
    <row r="54" spans="1:39" x14ac:dyDescent="0.35">
      <c r="B54" s="79"/>
      <c r="C54" s="80"/>
      <c r="D54" s="82"/>
      <c r="E54" s="82"/>
      <c r="F54" s="82"/>
      <c r="G54" s="80"/>
      <c r="H54" s="82"/>
      <c r="I54" s="82"/>
      <c r="J54" s="82"/>
      <c r="K54" s="82"/>
      <c r="L54" s="82"/>
      <c r="M54" s="82"/>
      <c r="N54" s="82"/>
      <c r="O54" s="82"/>
      <c r="P54" s="82"/>
      <c r="Q54" s="81"/>
      <c r="R54" s="82"/>
      <c r="S54" s="81"/>
      <c r="T54" s="81">
        <v>42491</v>
      </c>
      <c r="U54" s="81">
        <v>42704</v>
      </c>
      <c r="V54" s="82">
        <f>ROUND(DAYS360(T54,U54,0)/30,0)</f>
        <v>7</v>
      </c>
      <c r="W54" s="99">
        <v>2.4500000000000002</v>
      </c>
      <c r="X54" s="82"/>
      <c r="Y54" s="112"/>
      <c r="Z54" s="82"/>
      <c r="AA54" s="83">
        <f>W54+X54+Y54*W54+(W54+X54+Y54*W54)*Z54</f>
        <v>2.4500000000000002</v>
      </c>
      <c r="AB54" s="84">
        <v>1210000</v>
      </c>
      <c r="AC54" s="84">
        <f>V54*AA54*AB54</f>
        <v>20751500.000000004</v>
      </c>
      <c r="AD54" s="85"/>
      <c r="AE54" s="85"/>
      <c r="AF54" s="82"/>
      <c r="AG54" s="82"/>
      <c r="AH54" s="82"/>
      <c r="AI54" s="82"/>
      <c r="AJ54" s="82"/>
      <c r="AK54" s="193"/>
      <c r="AL54" s="82"/>
      <c r="AM54" s="82"/>
    </row>
    <row r="55" spans="1:39" x14ac:dyDescent="0.35">
      <c r="B55" s="89"/>
      <c r="C55" s="90"/>
      <c r="D55" s="91"/>
      <c r="E55" s="91"/>
      <c r="F55" s="91"/>
      <c r="G55" s="90"/>
      <c r="H55" s="91"/>
      <c r="I55" s="91"/>
      <c r="J55" s="91"/>
      <c r="K55" s="91"/>
      <c r="L55" s="91"/>
      <c r="M55" s="91"/>
      <c r="N55" s="91"/>
      <c r="O55" s="91"/>
      <c r="P55" s="91"/>
      <c r="Q55" s="92"/>
      <c r="R55" s="91"/>
      <c r="S55" s="91"/>
      <c r="T55" s="92"/>
      <c r="U55" s="92"/>
      <c r="V55" s="91">
        <f>SUM(V51:V54)</f>
        <v>60</v>
      </c>
      <c r="W55" s="93"/>
      <c r="X55" s="92"/>
      <c r="Y55" s="92"/>
      <c r="Z55" s="92"/>
      <c r="AA55" s="93"/>
      <c r="AB55" s="94"/>
      <c r="AC55" s="94">
        <f>SUM(AC51:AC54)</f>
        <v>162729000.00000003</v>
      </c>
      <c r="AD55" s="91"/>
      <c r="AE55" s="91"/>
      <c r="AF55" s="91"/>
      <c r="AG55" s="91"/>
      <c r="AH55" s="91"/>
      <c r="AI55" s="91"/>
      <c r="AJ55" s="91"/>
      <c r="AK55" s="194"/>
      <c r="AL55" s="91"/>
      <c r="AM55" s="91"/>
    </row>
  </sheetData>
  <mergeCells count="34">
    <mergeCell ref="AJ13:AJ14"/>
    <mergeCell ref="AK13:AM13"/>
    <mergeCell ref="AD13:AD14"/>
    <mergeCell ref="AE13:AE14"/>
    <mergeCell ref="AF13:AG13"/>
    <mergeCell ref="AH13:AH14"/>
    <mergeCell ref="AI13:AI14"/>
    <mergeCell ref="B8:AM8"/>
    <mergeCell ref="B9:AN9"/>
    <mergeCell ref="B10:AN10"/>
    <mergeCell ref="B11:AN11"/>
    <mergeCell ref="B13:B14"/>
    <mergeCell ref="C13:C14"/>
    <mergeCell ref="D13:D14"/>
    <mergeCell ref="F13:F14"/>
    <mergeCell ref="G13:G14"/>
    <mergeCell ref="H13:I13"/>
    <mergeCell ref="J13:K13"/>
    <mergeCell ref="L13:M13"/>
    <mergeCell ref="N13:O13"/>
    <mergeCell ref="P13:Q13"/>
    <mergeCell ref="R13:S13"/>
    <mergeCell ref="T13:AC13"/>
    <mergeCell ref="B4:F4"/>
    <mergeCell ref="AD4:AM4"/>
    <mergeCell ref="B5:F5"/>
    <mergeCell ref="AD5:AM5"/>
    <mergeCell ref="B7:AM7"/>
    <mergeCell ref="B1:F1"/>
    <mergeCell ref="AK1:AM1"/>
    <mergeCell ref="B2:F2"/>
    <mergeCell ref="AD2:AM2"/>
    <mergeCell ref="B3:F3"/>
    <mergeCell ref="AD3:AM3"/>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38"/>
  <sheetViews>
    <sheetView topLeftCell="A8" workbookViewId="0">
      <selection activeCell="M12" sqref="M12:O12"/>
    </sheetView>
  </sheetViews>
  <sheetFormatPr defaultRowHeight="14.5" x14ac:dyDescent="0.35"/>
  <cols>
    <col min="1" max="1" width="4.26953125" customWidth="1"/>
    <col min="2" max="2" width="18.81640625" customWidth="1"/>
    <col min="20" max="24" width="5.453125" customWidth="1"/>
    <col min="25" max="25" width="6.1796875" customWidth="1"/>
    <col min="26" max="26" width="8.54296875" customWidth="1"/>
    <col min="27" max="27" width="10.1796875" customWidth="1"/>
    <col min="29" max="29" width="10.81640625" bestFit="1" customWidth="1"/>
    <col min="37" max="39" width="9.54296875" bestFit="1" customWidth="1"/>
  </cols>
  <sheetData>
    <row r="1" spans="1:42" ht="15.5" x14ac:dyDescent="0.35">
      <c r="A1" s="795" t="s">
        <v>50</v>
      </c>
      <c r="B1" s="795"/>
      <c r="C1" s="795"/>
      <c r="D1" s="795"/>
      <c r="E1" s="795"/>
      <c r="F1" s="795"/>
      <c r="G1" s="795"/>
      <c r="H1" s="795"/>
      <c r="I1" s="795"/>
      <c r="J1" s="795"/>
      <c r="K1" s="795"/>
      <c r="L1" s="795"/>
      <c r="M1" s="795"/>
      <c r="N1" s="795"/>
      <c r="O1" s="795"/>
      <c r="P1" s="795"/>
      <c r="Q1" s="795"/>
      <c r="R1" s="795"/>
      <c r="S1" s="795"/>
      <c r="T1" s="795"/>
      <c r="U1" s="795"/>
      <c r="V1" s="795"/>
      <c r="W1" s="795"/>
      <c r="X1" s="795"/>
      <c r="Y1" s="795"/>
      <c r="Z1" s="795"/>
      <c r="AA1" s="795"/>
      <c r="AB1" s="795"/>
      <c r="AC1" s="795"/>
      <c r="AD1" s="795"/>
      <c r="AE1" s="795"/>
      <c r="AF1" s="795"/>
      <c r="AG1" s="795"/>
      <c r="AH1" s="795"/>
      <c r="AI1" s="795"/>
      <c r="AJ1" s="795"/>
      <c r="AK1" s="795"/>
      <c r="AL1" s="795"/>
      <c r="AM1" s="795"/>
      <c r="AN1" s="795"/>
    </row>
    <row r="2" spans="1:42" x14ac:dyDescent="0.35">
      <c r="A2" s="796" t="s">
        <v>0</v>
      </c>
      <c r="B2" s="796"/>
      <c r="C2" s="796"/>
      <c r="D2" s="796"/>
      <c r="E2" s="796"/>
      <c r="F2" s="796"/>
      <c r="G2" s="796"/>
      <c r="H2" s="796"/>
      <c r="I2" s="796"/>
      <c r="J2" s="796"/>
      <c r="K2" s="796"/>
      <c r="L2" s="796"/>
      <c r="M2" s="796"/>
      <c r="N2" s="796"/>
      <c r="O2" s="796"/>
      <c r="P2" s="796"/>
      <c r="Q2" s="796"/>
      <c r="R2" s="796"/>
      <c r="S2" s="796"/>
      <c r="T2" s="796"/>
      <c r="U2" s="796"/>
      <c r="V2" s="796"/>
      <c r="W2" s="796"/>
      <c r="X2" s="796"/>
      <c r="Y2" s="796"/>
      <c r="Z2" s="796"/>
      <c r="AA2" s="796"/>
      <c r="AB2" s="796"/>
      <c r="AC2" s="796"/>
      <c r="AD2" s="796"/>
      <c r="AE2" s="796"/>
      <c r="AF2" s="796"/>
      <c r="AG2" s="796"/>
      <c r="AH2" s="796"/>
      <c r="AI2" s="796"/>
      <c r="AJ2" s="796"/>
      <c r="AK2" s="796"/>
      <c r="AL2" s="796"/>
      <c r="AM2" s="796"/>
      <c r="AN2" s="796"/>
    </row>
    <row r="3" spans="1:42" x14ac:dyDescent="0.35">
      <c r="A3" s="798" t="s">
        <v>134</v>
      </c>
      <c r="B3" s="798"/>
      <c r="C3" s="798"/>
      <c r="D3" s="62"/>
      <c r="E3" s="62"/>
      <c r="F3" s="62"/>
      <c r="G3" s="62"/>
      <c r="H3" s="62"/>
      <c r="I3" s="62"/>
      <c r="J3" s="62"/>
      <c r="K3" s="62"/>
      <c r="L3" s="62"/>
      <c r="M3" s="62"/>
      <c r="N3" s="62"/>
      <c r="O3" s="62"/>
      <c r="P3" s="62"/>
      <c r="Q3" s="62"/>
      <c r="R3" s="62"/>
      <c r="S3" s="62"/>
      <c r="T3" s="62"/>
      <c r="U3" s="62"/>
      <c r="V3" s="62"/>
      <c r="W3" s="62"/>
      <c r="X3" s="62"/>
      <c r="Y3" s="62"/>
      <c r="Z3" s="62"/>
      <c r="AA3" s="62"/>
      <c r="AB3" s="62"/>
      <c r="AC3" s="62"/>
      <c r="AD3" s="62"/>
      <c r="AE3" s="62"/>
      <c r="AF3" s="62"/>
      <c r="AG3" s="62"/>
      <c r="AH3" s="62"/>
      <c r="AI3" s="62"/>
      <c r="AJ3" s="62"/>
      <c r="AK3" s="62"/>
      <c r="AL3" s="62"/>
      <c r="AM3" s="62"/>
      <c r="AN3" s="62"/>
      <c r="AO3" s="62"/>
      <c r="AP3" s="62"/>
    </row>
    <row r="4" spans="1:42" x14ac:dyDescent="0.35">
      <c r="A4" s="798" t="s">
        <v>135</v>
      </c>
      <c r="B4" s="798"/>
      <c r="C4" s="798"/>
      <c r="D4" s="62"/>
      <c r="E4" s="62"/>
      <c r="F4" s="62"/>
      <c r="G4" s="62"/>
      <c r="H4" s="62"/>
      <c r="I4" s="62"/>
      <c r="J4" s="62"/>
      <c r="K4" s="62"/>
      <c r="L4" s="62"/>
      <c r="M4" s="62"/>
      <c r="N4" s="62"/>
      <c r="O4" s="62"/>
      <c r="P4" s="62"/>
      <c r="Q4" s="62"/>
      <c r="R4" s="62"/>
      <c r="S4" s="62"/>
      <c r="T4" s="62"/>
      <c r="U4" s="62"/>
      <c r="V4" s="62"/>
      <c r="W4" s="62"/>
      <c r="X4" s="62"/>
      <c r="Y4" s="62"/>
      <c r="Z4" s="62"/>
      <c r="AA4" s="62"/>
      <c r="AB4" s="62"/>
      <c r="AC4" s="62"/>
      <c r="AD4" s="62"/>
      <c r="AE4" s="62"/>
      <c r="AF4" s="62"/>
      <c r="AG4" s="62"/>
      <c r="AH4" s="62"/>
      <c r="AI4" s="62"/>
      <c r="AJ4" s="62"/>
      <c r="AK4" s="62"/>
      <c r="AL4" s="62"/>
      <c r="AM4" s="62"/>
      <c r="AN4" s="62"/>
      <c r="AO4" s="62"/>
      <c r="AP4" s="62"/>
    </row>
    <row r="5" spans="1:42" s="63" customFormat="1" ht="19.5" x14ac:dyDescent="0.45">
      <c r="A5" s="797" t="s">
        <v>51</v>
      </c>
      <c r="B5" s="797"/>
      <c r="C5" s="797"/>
      <c r="D5" s="797"/>
      <c r="E5" s="797"/>
      <c r="F5" s="797"/>
      <c r="G5" s="797"/>
      <c r="H5" s="797"/>
      <c r="I5" s="797"/>
      <c r="J5" s="797"/>
      <c r="K5" s="797"/>
      <c r="L5" s="797"/>
      <c r="M5" s="797"/>
      <c r="N5" s="797"/>
      <c r="O5" s="797"/>
      <c r="P5" s="797"/>
      <c r="Q5" s="797"/>
      <c r="R5" s="797"/>
      <c r="S5" s="797"/>
      <c r="T5" s="797"/>
      <c r="U5" s="797"/>
      <c r="V5" s="797"/>
      <c r="W5" s="797"/>
      <c r="X5" s="797"/>
      <c r="Y5" s="797"/>
      <c r="Z5" s="797"/>
      <c r="AA5" s="797"/>
      <c r="AB5" s="797"/>
      <c r="AC5" s="797"/>
      <c r="AD5" s="797"/>
      <c r="AE5" s="797"/>
      <c r="AF5" s="797"/>
      <c r="AG5" s="797"/>
      <c r="AH5" s="797"/>
      <c r="AI5" s="797"/>
      <c r="AJ5" s="797"/>
      <c r="AK5" s="797"/>
      <c r="AL5" s="797"/>
      <c r="AM5" s="797"/>
      <c r="AN5" s="797"/>
    </row>
    <row r="6" spans="1:42" ht="15" thickBot="1" x14ac:dyDescent="0.4">
      <c r="A6" s="799" t="s">
        <v>52</v>
      </c>
      <c r="B6" s="799"/>
      <c r="C6" s="799"/>
      <c r="D6" s="799"/>
      <c r="E6" s="799"/>
      <c r="F6" s="799"/>
      <c r="G6" s="799"/>
      <c r="H6" s="799"/>
      <c r="I6" s="799"/>
      <c r="J6" s="799"/>
      <c r="K6" s="799"/>
      <c r="L6" s="799"/>
      <c r="M6" s="799"/>
      <c r="N6" s="799"/>
      <c r="O6" s="799"/>
      <c r="P6" s="799"/>
      <c r="Q6" s="799"/>
      <c r="R6" s="799"/>
      <c r="S6" s="799"/>
      <c r="T6" s="799"/>
      <c r="U6" s="799"/>
      <c r="V6" s="799"/>
      <c r="W6" s="799"/>
      <c r="X6" s="799"/>
      <c r="Y6" s="799"/>
      <c r="Z6" s="799"/>
      <c r="AA6" s="799"/>
      <c r="AB6" s="799"/>
      <c r="AC6" s="799"/>
      <c r="AD6" s="799"/>
      <c r="AE6" s="799"/>
      <c r="AF6" s="799"/>
      <c r="AG6" s="799"/>
      <c r="AH6" s="799"/>
      <c r="AI6" s="799"/>
      <c r="AJ6" s="799"/>
      <c r="AK6" s="799"/>
      <c r="AL6" s="799"/>
      <c r="AM6" s="799"/>
      <c r="AN6" s="799"/>
    </row>
    <row r="7" spans="1:42" ht="33.75" customHeight="1" thickBot="1" x14ac:dyDescent="0.4">
      <c r="A7" s="791" t="s">
        <v>3</v>
      </c>
      <c r="B7" s="791" t="s">
        <v>4</v>
      </c>
      <c r="C7" s="791" t="s">
        <v>5</v>
      </c>
      <c r="D7" s="791" t="s">
        <v>6</v>
      </c>
      <c r="E7" s="791" t="s">
        <v>7</v>
      </c>
      <c r="F7" s="793" t="s">
        <v>8</v>
      </c>
      <c r="G7" s="794"/>
      <c r="H7" s="793" t="s">
        <v>9</v>
      </c>
      <c r="I7" s="794"/>
      <c r="J7" s="793" t="s">
        <v>10</v>
      </c>
      <c r="K7" s="794"/>
      <c r="L7" s="793" t="s">
        <v>11</v>
      </c>
      <c r="M7" s="794"/>
      <c r="N7" s="793" t="s">
        <v>12</v>
      </c>
      <c r="O7" s="794"/>
      <c r="P7" s="793" t="s">
        <v>13</v>
      </c>
      <c r="Q7" s="794"/>
      <c r="R7" s="786" t="s">
        <v>83</v>
      </c>
      <c r="S7" s="787"/>
      <c r="T7" s="787"/>
      <c r="U7" s="787"/>
      <c r="V7" s="787"/>
      <c r="W7" s="787"/>
      <c r="X7" s="787"/>
      <c r="Y7" s="787"/>
      <c r="Z7" s="787"/>
      <c r="AA7" s="788"/>
      <c r="AB7" s="791" t="s">
        <v>98</v>
      </c>
      <c r="AC7" s="791" t="s">
        <v>99</v>
      </c>
      <c r="AD7" s="793" t="s">
        <v>14</v>
      </c>
      <c r="AE7" s="794"/>
      <c r="AF7" s="791" t="s">
        <v>15</v>
      </c>
      <c r="AG7" s="786" t="s">
        <v>16</v>
      </c>
      <c r="AH7" s="787"/>
      <c r="AI7" s="788"/>
      <c r="AJ7" s="791" t="s">
        <v>16</v>
      </c>
      <c r="AK7" s="789" t="s">
        <v>94</v>
      </c>
      <c r="AL7" s="789" t="s">
        <v>102</v>
      </c>
      <c r="AM7" s="791" t="s">
        <v>96</v>
      </c>
      <c r="AN7" s="791" t="s">
        <v>17</v>
      </c>
    </row>
    <row r="8" spans="1:42" ht="90.5" thickBot="1" x14ac:dyDescent="0.4">
      <c r="A8" s="792"/>
      <c r="B8" s="792"/>
      <c r="C8" s="792"/>
      <c r="D8" s="792"/>
      <c r="E8" s="792"/>
      <c r="F8" s="1" t="s">
        <v>18</v>
      </c>
      <c r="G8" s="1" t="s">
        <v>19</v>
      </c>
      <c r="H8" s="1" t="s">
        <v>20</v>
      </c>
      <c r="I8" s="1" t="s">
        <v>19</v>
      </c>
      <c r="J8" s="1" t="s">
        <v>21</v>
      </c>
      <c r="K8" s="1" t="s">
        <v>19</v>
      </c>
      <c r="L8" s="1" t="s">
        <v>21</v>
      </c>
      <c r="M8" s="1" t="s">
        <v>19</v>
      </c>
      <c r="N8" s="1" t="s">
        <v>20</v>
      </c>
      <c r="O8" s="1" t="s">
        <v>19</v>
      </c>
      <c r="P8" s="1" t="s">
        <v>20</v>
      </c>
      <c r="Q8" s="1" t="s">
        <v>19</v>
      </c>
      <c r="R8" s="24" t="s">
        <v>84</v>
      </c>
      <c r="S8" s="24" t="s">
        <v>85</v>
      </c>
      <c r="T8" s="24" t="s">
        <v>86</v>
      </c>
      <c r="U8" s="24" t="s">
        <v>20</v>
      </c>
      <c r="V8" s="24" t="s">
        <v>87</v>
      </c>
      <c r="W8" s="24" t="s">
        <v>91</v>
      </c>
      <c r="X8" s="24" t="s">
        <v>92</v>
      </c>
      <c r="Y8" s="24" t="s">
        <v>90</v>
      </c>
      <c r="Z8" s="24" t="s">
        <v>88</v>
      </c>
      <c r="AA8" s="24" t="s">
        <v>89</v>
      </c>
      <c r="AB8" s="792"/>
      <c r="AC8" s="792"/>
      <c r="AD8" s="1" t="s">
        <v>22</v>
      </c>
      <c r="AE8" s="1" t="s">
        <v>23</v>
      </c>
      <c r="AF8" s="792"/>
      <c r="AG8" s="67" t="s">
        <v>138</v>
      </c>
      <c r="AH8" s="67" t="s">
        <v>139</v>
      </c>
      <c r="AI8" s="67" t="s">
        <v>140</v>
      </c>
      <c r="AJ8" s="792"/>
      <c r="AK8" s="790"/>
      <c r="AL8" s="790"/>
      <c r="AM8" s="792"/>
      <c r="AN8" s="792"/>
    </row>
    <row r="9" spans="1:42" ht="15" thickBot="1" x14ac:dyDescent="0.4">
      <c r="A9" s="6"/>
      <c r="B9" s="1" t="s">
        <v>28</v>
      </c>
      <c r="C9" s="1">
        <v>1</v>
      </c>
      <c r="D9" s="1">
        <v>2</v>
      </c>
      <c r="E9" s="1">
        <v>3</v>
      </c>
      <c r="F9" s="1">
        <v>4</v>
      </c>
      <c r="G9" s="1">
        <v>5</v>
      </c>
      <c r="H9" s="1">
        <v>6</v>
      </c>
      <c r="I9" s="1">
        <v>7</v>
      </c>
      <c r="J9" s="1">
        <v>8</v>
      </c>
      <c r="K9" s="1">
        <v>9</v>
      </c>
      <c r="L9" s="1">
        <v>10</v>
      </c>
      <c r="M9" s="1">
        <v>11</v>
      </c>
      <c r="N9" s="1">
        <v>12</v>
      </c>
      <c r="O9" s="1">
        <v>13</v>
      </c>
      <c r="P9" s="1">
        <v>14</v>
      </c>
      <c r="Q9" s="1">
        <v>15</v>
      </c>
      <c r="R9" s="2"/>
      <c r="S9" s="2"/>
      <c r="T9" s="2"/>
      <c r="U9" s="2"/>
      <c r="V9" s="2"/>
      <c r="W9" s="2"/>
      <c r="X9" s="2"/>
      <c r="Y9" s="2"/>
      <c r="Z9" s="2"/>
      <c r="AA9" s="2"/>
      <c r="AB9" s="1">
        <v>16</v>
      </c>
      <c r="AC9" s="1">
        <v>17</v>
      </c>
      <c r="AD9" s="1">
        <v>18</v>
      </c>
      <c r="AE9" s="1">
        <v>19</v>
      </c>
      <c r="AF9" s="1">
        <v>20</v>
      </c>
      <c r="AG9" s="1"/>
      <c r="AH9" s="1"/>
      <c r="AI9" s="1"/>
      <c r="AJ9" s="1">
        <v>21</v>
      </c>
      <c r="AK9" s="1"/>
      <c r="AL9" s="1"/>
      <c r="AM9" s="1">
        <v>22</v>
      </c>
      <c r="AN9" s="1">
        <v>23</v>
      </c>
    </row>
    <row r="10" spans="1:42" x14ac:dyDescent="0.35">
      <c r="A10" s="32" t="s">
        <v>28</v>
      </c>
      <c r="B10" s="75" t="s">
        <v>30</v>
      </c>
      <c r="C10" s="33"/>
      <c r="D10" s="33"/>
      <c r="E10" s="33"/>
      <c r="F10" s="33"/>
      <c r="G10" s="33"/>
      <c r="H10" s="33"/>
      <c r="I10" s="33"/>
      <c r="J10" s="33"/>
      <c r="K10" s="33"/>
      <c r="L10" s="33"/>
      <c r="M10" s="33"/>
      <c r="N10" s="33"/>
      <c r="O10" s="33"/>
      <c r="P10" s="33"/>
      <c r="Q10" s="33"/>
      <c r="R10" s="33"/>
      <c r="S10" s="33"/>
      <c r="T10" s="33"/>
      <c r="U10" s="33"/>
      <c r="V10" s="33"/>
      <c r="W10" s="33"/>
      <c r="X10" s="33"/>
      <c r="Y10" s="33"/>
      <c r="Z10" s="33"/>
      <c r="AA10" s="33"/>
      <c r="AB10" s="33"/>
      <c r="AC10" s="33"/>
      <c r="AD10" s="33"/>
      <c r="AE10" s="33"/>
      <c r="AF10" s="33"/>
      <c r="AG10" s="33"/>
      <c r="AH10" s="33"/>
      <c r="AI10" s="33"/>
      <c r="AJ10" s="33"/>
      <c r="AK10" s="33"/>
      <c r="AL10" s="33"/>
      <c r="AM10" s="33"/>
      <c r="AN10" s="33"/>
      <c r="AP10" s="28"/>
    </row>
    <row r="11" spans="1:42" x14ac:dyDescent="0.35">
      <c r="A11" s="45" t="s">
        <v>141</v>
      </c>
      <c r="B11" s="76" t="s">
        <v>142</v>
      </c>
      <c r="C11" s="46"/>
      <c r="D11" s="46"/>
      <c r="E11" s="46"/>
      <c r="F11" s="46"/>
      <c r="G11" s="46"/>
      <c r="H11" s="46"/>
      <c r="I11" s="46"/>
      <c r="J11" s="46"/>
      <c r="K11" s="46"/>
      <c r="L11" s="46"/>
      <c r="M11" s="46"/>
      <c r="N11" s="46"/>
      <c r="O11" s="46"/>
      <c r="P11" s="46"/>
      <c r="Q11" s="46"/>
      <c r="R11" s="46"/>
      <c r="S11" s="46"/>
      <c r="T11" s="46"/>
      <c r="U11" s="46"/>
      <c r="V11" s="46"/>
      <c r="W11" s="46"/>
      <c r="X11" s="46"/>
      <c r="Y11" s="46"/>
      <c r="Z11" s="46"/>
      <c r="AA11" s="46"/>
      <c r="AB11" s="46"/>
      <c r="AC11" s="46"/>
      <c r="AD11" s="46"/>
      <c r="AE11" s="46"/>
      <c r="AF11" s="46"/>
      <c r="AG11" s="46"/>
      <c r="AH11" s="46"/>
      <c r="AI11" s="46"/>
      <c r="AJ11" s="46"/>
      <c r="AK11" s="46"/>
      <c r="AL11" s="46"/>
      <c r="AM11" s="46"/>
      <c r="AN11" s="46"/>
      <c r="AP11" s="28"/>
    </row>
    <row r="12" spans="1:42" x14ac:dyDescent="0.35">
      <c r="A12" s="34">
        <v>1</v>
      </c>
      <c r="B12" s="35" t="s">
        <v>143</v>
      </c>
      <c r="C12" s="37">
        <v>23032</v>
      </c>
      <c r="D12" s="36"/>
      <c r="E12" s="36"/>
      <c r="F12" s="38">
        <v>3.33</v>
      </c>
      <c r="G12" s="37">
        <v>42156</v>
      </c>
      <c r="H12" s="36">
        <v>0.25</v>
      </c>
      <c r="I12" s="37">
        <v>39965</v>
      </c>
      <c r="J12" s="36"/>
      <c r="K12" s="36"/>
      <c r="L12" s="36"/>
      <c r="M12" s="36"/>
      <c r="N12" s="36"/>
      <c r="O12" s="36"/>
      <c r="P12" s="38">
        <v>3</v>
      </c>
      <c r="Q12" s="37">
        <f>EDATE(G12,-(3*12))</f>
        <v>41061</v>
      </c>
      <c r="R12" s="37">
        <f>EDATE(AF12,-60)</f>
        <v>40391</v>
      </c>
      <c r="S12" s="37">
        <v>40663</v>
      </c>
      <c r="T12" s="36">
        <f t="shared" ref="T12:T17" si="0">ROUND(DAYS360(R12,S12,0)/30,0)</f>
        <v>9</v>
      </c>
      <c r="U12" s="36">
        <v>2.67</v>
      </c>
      <c r="V12" s="36">
        <v>0.25</v>
      </c>
      <c r="W12" s="36"/>
      <c r="X12" s="36"/>
      <c r="Y12" s="38">
        <f t="shared" ref="Y12:Y17" si="1">U12+V12+W12*U12+(U12+V12+W12*U12)*X12</f>
        <v>2.92</v>
      </c>
      <c r="Z12" s="39">
        <v>730000</v>
      </c>
      <c r="AA12" s="39">
        <f t="shared" ref="AA12:AA17" si="2">T12*Y12*Z12</f>
        <v>19184400</v>
      </c>
      <c r="AB12" s="69">
        <f>Z17*Y17</f>
        <v>4117000</v>
      </c>
      <c r="AC12" s="69">
        <f>ROUND(AA18/60,0)</f>
        <v>3164877</v>
      </c>
      <c r="AD12" s="36" t="s">
        <v>144</v>
      </c>
      <c r="AE12" s="36"/>
      <c r="AF12" s="70">
        <v>42217</v>
      </c>
      <c r="AG12" s="36">
        <f>DATEDIF(C12,AF12,"y")</f>
        <v>52</v>
      </c>
      <c r="AH12" s="36">
        <f>DATEDIF(C12,AF12,"ym")</f>
        <v>6</v>
      </c>
      <c r="AI12" s="36">
        <f>DATEDIF(C12,AF12,"md")</f>
        <v>11</v>
      </c>
      <c r="AJ12" s="36" t="str">
        <f>IF(AH12=0,AG12&amp;"t",IF(AND(AH12=11,AI12&gt;14),(AG12+1)&amp;"t",IF(AI12&gt;14,AG12&amp;"t"&amp;(AH12+1)&amp;"th",AG12&amp;"t"&amp;AH12&amp;"th")))</f>
        <v>52t6th</v>
      </c>
      <c r="AK12" s="69">
        <f>3*AB12</f>
        <v>12351000</v>
      </c>
      <c r="AL12" s="69">
        <f>(VALUE(LEFT(AD12,2)+IF(LEN(AD12)&lt;4,0,IF(VALUE(MID(AD12,4,LEN(AD12)-4))&gt;6,1,IF(VALUE(MID(AD12,4,LEN(AD12)-4))&gt;2,0.5,0)))))*AC12*1/2</f>
        <v>41143401</v>
      </c>
      <c r="AM12" s="71">
        <f>SUM(AK12:AL12)</f>
        <v>53494401</v>
      </c>
      <c r="AN12" s="36"/>
      <c r="AP12" s="28"/>
    </row>
    <row r="13" spans="1:42" x14ac:dyDescent="0.35">
      <c r="A13" s="34"/>
      <c r="B13" s="35"/>
      <c r="C13" s="36"/>
      <c r="D13" s="36"/>
      <c r="E13" s="36"/>
      <c r="F13" s="38"/>
      <c r="G13" s="37"/>
      <c r="H13" s="36"/>
      <c r="I13" s="36"/>
      <c r="J13" s="36"/>
      <c r="K13" s="36"/>
      <c r="L13" s="36"/>
      <c r="M13" s="36"/>
      <c r="N13" s="36"/>
      <c r="O13" s="36"/>
      <c r="P13" s="38">
        <f>P12-0.33</f>
        <v>2.67</v>
      </c>
      <c r="Q13" s="37">
        <f>EDATE(Q12,-3*12)</f>
        <v>39965</v>
      </c>
      <c r="R13" s="37">
        <v>40664</v>
      </c>
      <c r="S13" s="37">
        <v>41029</v>
      </c>
      <c r="T13" s="36">
        <f t="shared" si="0"/>
        <v>12</v>
      </c>
      <c r="U13" s="36">
        <v>2.67</v>
      </c>
      <c r="V13" s="36">
        <v>0.25</v>
      </c>
      <c r="W13" s="36"/>
      <c r="X13" s="36"/>
      <c r="Y13" s="38">
        <f t="shared" si="1"/>
        <v>2.92</v>
      </c>
      <c r="Z13" s="39">
        <v>830000</v>
      </c>
      <c r="AA13" s="39">
        <f t="shared" si="2"/>
        <v>29083200</v>
      </c>
      <c r="AB13" s="36"/>
      <c r="AC13" s="36"/>
      <c r="AD13" s="36"/>
      <c r="AE13" s="36"/>
      <c r="AF13" s="37"/>
      <c r="AG13" s="37"/>
      <c r="AH13" s="37"/>
      <c r="AI13" s="37"/>
      <c r="AJ13" s="36"/>
      <c r="AK13" s="36"/>
      <c r="AL13" s="69"/>
      <c r="AM13" s="36"/>
      <c r="AN13" s="36"/>
    </row>
    <row r="14" spans="1:42" x14ac:dyDescent="0.35">
      <c r="A14" s="34"/>
      <c r="B14" s="35"/>
      <c r="C14" s="36"/>
      <c r="D14" s="36"/>
      <c r="E14" s="36"/>
      <c r="F14" s="38"/>
      <c r="G14" s="37"/>
      <c r="H14" s="36"/>
      <c r="I14" s="36"/>
      <c r="J14" s="36"/>
      <c r="K14" s="36"/>
      <c r="L14" s="36"/>
      <c r="M14" s="36"/>
      <c r="N14" s="36"/>
      <c r="O14" s="36"/>
      <c r="P14" s="36"/>
      <c r="Q14" s="36"/>
      <c r="R14" s="37">
        <v>41030</v>
      </c>
      <c r="S14" s="37">
        <v>41060</v>
      </c>
      <c r="T14" s="36">
        <f t="shared" si="0"/>
        <v>1</v>
      </c>
      <c r="U14" s="38">
        <v>2.67</v>
      </c>
      <c r="V14" s="36">
        <v>0.25</v>
      </c>
      <c r="W14" s="36"/>
      <c r="X14" s="36"/>
      <c r="Y14" s="38">
        <f t="shared" si="1"/>
        <v>2.92</v>
      </c>
      <c r="Z14" s="39">
        <v>1050000</v>
      </c>
      <c r="AA14" s="39">
        <f t="shared" si="2"/>
        <v>3066000</v>
      </c>
      <c r="AB14" s="36"/>
      <c r="AC14" s="36"/>
      <c r="AD14" s="36"/>
      <c r="AE14" s="36"/>
      <c r="AF14" s="37"/>
      <c r="AG14" s="37"/>
      <c r="AH14" s="37"/>
      <c r="AI14" s="37"/>
      <c r="AJ14" s="36"/>
      <c r="AK14" s="36"/>
      <c r="AL14" s="36"/>
      <c r="AM14" s="36"/>
      <c r="AN14" s="36"/>
    </row>
    <row r="15" spans="1:42" x14ac:dyDescent="0.35">
      <c r="A15" s="34"/>
      <c r="B15" s="35"/>
      <c r="C15" s="36"/>
      <c r="D15" s="36"/>
      <c r="E15" s="36"/>
      <c r="F15" s="38"/>
      <c r="G15" s="37"/>
      <c r="H15" s="36"/>
      <c r="I15" s="36"/>
      <c r="J15" s="36"/>
      <c r="K15" s="36"/>
      <c r="L15" s="36"/>
      <c r="M15" s="36"/>
      <c r="N15" s="36"/>
      <c r="O15" s="36"/>
      <c r="P15" s="36"/>
      <c r="Q15" s="36"/>
      <c r="R15" s="37">
        <v>41061</v>
      </c>
      <c r="S15" s="37">
        <v>41455</v>
      </c>
      <c r="T15" s="36">
        <f t="shared" si="0"/>
        <v>13</v>
      </c>
      <c r="U15" s="38">
        <v>3</v>
      </c>
      <c r="V15" s="36">
        <v>0.25</v>
      </c>
      <c r="W15" s="36"/>
      <c r="X15" s="36"/>
      <c r="Y15" s="38">
        <f t="shared" si="1"/>
        <v>3.25</v>
      </c>
      <c r="Z15" s="39">
        <v>1050000</v>
      </c>
      <c r="AA15" s="39">
        <f t="shared" si="2"/>
        <v>44362500</v>
      </c>
      <c r="AB15" s="36"/>
      <c r="AC15" s="36"/>
      <c r="AD15" s="36"/>
      <c r="AE15" s="36"/>
      <c r="AF15" s="37"/>
      <c r="AG15" s="37"/>
      <c r="AH15" s="37"/>
      <c r="AI15" s="37"/>
      <c r="AJ15" s="36"/>
      <c r="AK15" s="36"/>
      <c r="AL15" s="36"/>
      <c r="AM15" s="36"/>
      <c r="AN15" s="36"/>
    </row>
    <row r="16" spans="1:42" x14ac:dyDescent="0.35">
      <c r="A16" s="34"/>
      <c r="B16" s="35"/>
      <c r="C16" s="36"/>
      <c r="D16" s="36"/>
      <c r="E16" s="36"/>
      <c r="F16" s="38"/>
      <c r="G16" s="37"/>
      <c r="H16" s="36"/>
      <c r="I16" s="36"/>
      <c r="J16" s="36"/>
      <c r="K16" s="36"/>
      <c r="L16" s="36"/>
      <c r="M16" s="36"/>
      <c r="N16" s="36"/>
      <c r="O16" s="36"/>
      <c r="P16" s="36"/>
      <c r="Q16" s="36"/>
      <c r="R16" s="37">
        <v>41456</v>
      </c>
      <c r="S16" s="37">
        <v>42155</v>
      </c>
      <c r="T16" s="36">
        <f t="shared" si="0"/>
        <v>23</v>
      </c>
      <c r="U16" s="38">
        <v>3</v>
      </c>
      <c r="V16" s="36">
        <v>0.25</v>
      </c>
      <c r="W16" s="36"/>
      <c r="X16" s="36"/>
      <c r="Y16" s="38">
        <f t="shared" si="1"/>
        <v>3.25</v>
      </c>
      <c r="Z16" s="39">
        <v>1150000</v>
      </c>
      <c r="AA16" s="39">
        <f t="shared" si="2"/>
        <v>85962500</v>
      </c>
      <c r="AB16" s="36"/>
      <c r="AC16" s="36"/>
      <c r="AD16" s="36"/>
      <c r="AE16" s="36"/>
      <c r="AF16" s="37"/>
      <c r="AG16" s="37"/>
      <c r="AH16" s="37"/>
      <c r="AI16" s="37"/>
      <c r="AJ16" s="36"/>
      <c r="AK16" s="36"/>
      <c r="AL16" s="36"/>
      <c r="AM16" s="36"/>
      <c r="AN16" s="36"/>
    </row>
    <row r="17" spans="1:42" x14ac:dyDescent="0.35">
      <c r="A17" s="34"/>
      <c r="B17" s="35"/>
      <c r="C17" s="36"/>
      <c r="D17" s="36"/>
      <c r="E17" s="36"/>
      <c r="F17" s="38"/>
      <c r="G17" s="37"/>
      <c r="H17" s="36"/>
      <c r="I17" s="36"/>
      <c r="J17" s="36"/>
      <c r="K17" s="36"/>
      <c r="L17" s="36"/>
      <c r="M17" s="36"/>
      <c r="N17" s="36"/>
      <c r="O17" s="36"/>
      <c r="P17" s="36"/>
      <c r="Q17" s="36"/>
      <c r="R17" s="37">
        <v>42156</v>
      </c>
      <c r="S17" s="37">
        <v>42217</v>
      </c>
      <c r="T17" s="36">
        <f t="shared" si="0"/>
        <v>2</v>
      </c>
      <c r="U17" s="38">
        <v>3.33</v>
      </c>
      <c r="V17" s="36">
        <v>0.25</v>
      </c>
      <c r="W17" s="36"/>
      <c r="X17" s="36"/>
      <c r="Y17" s="38">
        <f t="shared" si="1"/>
        <v>3.58</v>
      </c>
      <c r="Z17" s="39">
        <v>1150000</v>
      </c>
      <c r="AA17" s="39">
        <f t="shared" si="2"/>
        <v>8234000</v>
      </c>
      <c r="AB17" s="36"/>
      <c r="AC17" s="36"/>
      <c r="AD17" s="36"/>
      <c r="AE17" s="36"/>
      <c r="AF17" s="37"/>
      <c r="AG17" s="37"/>
      <c r="AH17" s="37"/>
      <c r="AI17" s="37"/>
      <c r="AJ17" s="36"/>
      <c r="AK17" s="36"/>
      <c r="AL17" s="36"/>
      <c r="AM17" s="36"/>
      <c r="AN17" s="36"/>
    </row>
    <row r="18" spans="1:42" x14ac:dyDescent="0.35">
      <c r="A18" s="34"/>
      <c r="B18" s="35"/>
      <c r="C18" s="36"/>
      <c r="D18" s="36"/>
      <c r="E18" s="36"/>
      <c r="F18" s="36"/>
      <c r="G18" s="36"/>
      <c r="H18" s="36"/>
      <c r="I18" s="36"/>
      <c r="J18" s="36"/>
      <c r="K18" s="36"/>
      <c r="L18" s="36"/>
      <c r="M18" s="36"/>
      <c r="N18" s="36"/>
      <c r="O18" s="36"/>
      <c r="P18" s="36"/>
      <c r="Q18" s="36"/>
      <c r="R18" s="37"/>
      <c r="S18" s="37"/>
      <c r="T18" s="36">
        <f>SUM(T12:T17)</f>
        <v>60</v>
      </c>
      <c r="U18" s="38"/>
      <c r="V18" s="37"/>
      <c r="W18" s="37"/>
      <c r="X18" s="37"/>
      <c r="Y18" s="38"/>
      <c r="Z18" s="39"/>
      <c r="AA18" s="39">
        <f>SUM(AA12:AA17)</f>
        <v>189892600</v>
      </c>
      <c r="AB18" s="36"/>
      <c r="AC18" s="36"/>
      <c r="AD18" s="36"/>
      <c r="AE18" s="36"/>
      <c r="AF18" s="36"/>
      <c r="AG18" s="36"/>
      <c r="AH18" s="36"/>
      <c r="AI18" s="36"/>
      <c r="AJ18" s="36"/>
      <c r="AK18" s="36"/>
      <c r="AL18" s="36"/>
      <c r="AM18" s="36"/>
      <c r="AN18" s="36"/>
    </row>
    <row r="19" spans="1:42" x14ac:dyDescent="0.35">
      <c r="A19" s="34" t="s">
        <v>32</v>
      </c>
      <c r="B19" s="35" t="s">
        <v>33</v>
      </c>
      <c r="C19" s="36"/>
      <c r="D19" s="36"/>
      <c r="E19" s="36"/>
      <c r="F19" s="36"/>
      <c r="G19" s="36"/>
      <c r="H19" s="36"/>
      <c r="I19" s="36"/>
      <c r="J19" s="36"/>
      <c r="K19" s="36"/>
      <c r="L19" s="36"/>
      <c r="M19" s="36"/>
      <c r="N19" s="36"/>
      <c r="O19" s="36"/>
      <c r="P19" s="36"/>
      <c r="Q19" s="36"/>
      <c r="R19" s="37"/>
      <c r="S19" s="37"/>
      <c r="T19" s="36"/>
      <c r="U19" s="38"/>
      <c r="V19" s="37"/>
      <c r="W19" s="37"/>
      <c r="X19" s="37"/>
      <c r="Y19" s="38"/>
      <c r="Z19" s="39"/>
      <c r="AA19" s="39"/>
      <c r="AB19" s="36"/>
      <c r="AC19" s="36"/>
      <c r="AD19" s="36"/>
      <c r="AE19" s="36"/>
      <c r="AF19" s="36"/>
      <c r="AG19" s="36"/>
      <c r="AH19" s="36"/>
      <c r="AI19" s="36"/>
      <c r="AJ19" s="36"/>
      <c r="AK19" s="36"/>
      <c r="AL19" s="36"/>
      <c r="AM19" s="36"/>
      <c r="AN19" s="36"/>
    </row>
    <row r="20" spans="1:42" x14ac:dyDescent="0.35">
      <c r="A20" s="34"/>
      <c r="B20" s="35" t="s">
        <v>31</v>
      </c>
      <c r="C20" s="36"/>
      <c r="D20" s="36"/>
      <c r="E20" s="36"/>
      <c r="F20" s="36"/>
      <c r="G20" s="36"/>
      <c r="H20" s="36"/>
      <c r="I20" s="36"/>
      <c r="J20" s="36"/>
      <c r="K20" s="36"/>
      <c r="L20" s="36"/>
      <c r="M20" s="36"/>
      <c r="N20" s="36"/>
      <c r="O20" s="36"/>
      <c r="P20" s="36"/>
      <c r="Q20" s="36"/>
      <c r="R20" s="37"/>
      <c r="S20" s="37"/>
      <c r="T20" s="36"/>
      <c r="U20" s="36"/>
      <c r="V20" s="37"/>
      <c r="W20" s="37"/>
      <c r="X20" s="37"/>
      <c r="Y20" s="38"/>
      <c r="Z20" s="39"/>
      <c r="AA20" s="39"/>
      <c r="AB20" s="36"/>
      <c r="AC20" s="36"/>
      <c r="AD20" s="36"/>
      <c r="AE20" s="36"/>
      <c r="AF20" s="36"/>
      <c r="AG20" s="36"/>
      <c r="AH20" s="36"/>
      <c r="AI20" s="36"/>
      <c r="AJ20" s="36"/>
      <c r="AK20" s="36"/>
      <c r="AL20" s="36"/>
      <c r="AM20" s="36"/>
      <c r="AN20" s="36"/>
    </row>
    <row r="21" spans="1:42" x14ac:dyDescent="0.35">
      <c r="A21" s="34" t="s">
        <v>34</v>
      </c>
      <c r="B21" s="35" t="s">
        <v>35</v>
      </c>
      <c r="C21" s="36"/>
      <c r="D21" s="36"/>
      <c r="E21" s="36"/>
      <c r="F21" s="36"/>
      <c r="G21" s="36"/>
      <c r="H21" s="36"/>
      <c r="I21" s="36"/>
      <c r="J21" s="36"/>
      <c r="K21" s="36"/>
      <c r="L21" s="36"/>
      <c r="M21" s="36"/>
      <c r="N21" s="36"/>
      <c r="O21" s="36"/>
      <c r="P21" s="36"/>
      <c r="Q21" s="36"/>
      <c r="R21" s="37"/>
      <c r="S21" s="37"/>
      <c r="T21" s="36"/>
      <c r="U21" s="36"/>
      <c r="V21" s="37"/>
      <c r="W21" s="37"/>
      <c r="X21" s="37"/>
      <c r="Y21" s="38"/>
      <c r="Z21" s="39"/>
      <c r="AA21" s="39"/>
      <c r="AB21" s="36"/>
      <c r="AC21" s="36"/>
      <c r="AD21" s="36"/>
      <c r="AE21" s="36"/>
      <c r="AF21" s="36"/>
      <c r="AG21" s="36"/>
      <c r="AH21" s="36"/>
      <c r="AI21" s="36"/>
      <c r="AJ21" s="36"/>
      <c r="AK21" s="36"/>
      <c r="AL21" s="36"/>
      <c r="AM21" s="36"/>
      <c r="AN21" s="36"/>
    </row>
    <row r="22" spans="1:42" x14ac:dyDescent="0.35">
      <c r="A22" s="34"/>
      <c r="B22" s="35" t="s">
        <v>31</v>
      </c>
      <c r="C22" s="36"/>
      <c r="D22" s="36"/>
      <c r="E22" s="36"/>
      <c r="F22" s="36"/>
      <c r="G22" s="36"/>
      <c r="H22" s="36"/>
      <c r="I22" s="36"/>
      <c r="J22" s="36"/>
      <c r="K22" s="36"/>
      <c r="L22" s="36"/>
      <c r="M22" s="36"/>
      <c r="N22" s="36"/>
      <c r="O22" s="36"/>
      <c r="P22" s="36"/>
      <c r="Q22" s="36"/>
      <c r="R22" s="37"/>
      <c r="S22" s="37"/>
      <c r="T22" s="36"/>
      <c r="U22" s="36"/>
      <c r="V22" s="36"/>
      <c r="W22" s="36"/>
      <c r="X22" s="36"/>
      <c r="Y22" s="38"/>
      <c r="Z22" s="39"/>
      <c r="AA22" s="39"/>
      <c r="AB22" s="36"/>
      <c r="AC22" s="36"/>
      <c r="AD22" s="36"/>
      <c r="AE22" s="36"/>
      <c r="AF22" s="36"/>
      <c r="AG22" s="36"/>
      <c r="AH22" s="36"/>
      <c r="AI22" s="36"/>
      <c r="AJ22" s="36"/>
      <c r="AK22" s="36"/>
      <c r="AL22" s="36"/>
      <c r="AM22" s="36"/>
      <c r="AN22" s="36"/>
    </row>
    <row r="23" spans="1:42" x14ac:dyDescent="0.35">
      <c r="A23" s="34" t="s">
        <v>36</v>
      </c>
      <c r="B23" s="35" t="s">
        <v>37</v>
      </c>
      <c r="C23" s="36"/>
      <c r="D23" s="36"/>
      <c r="E23" s="36"/>
      <c r="F23" s="36"/>
      <c r="G23" s="36"/>
      <c r="H23" s="36"/>
      <c r="I23" s="36"/>
      <c r="J23" s="36"/>
      <c r="K23" s="36"/>
      <c r="L23" s="36"/>
      <c r="M23" s="36"/>
      <c r="N23" s="36"/>
      <c r="O23" s="36"/>
      <c r="P23" s="36"/>
      <c r="Q23" s="36"/>
      <c r="R23" s="37"/>
      <c r="S23" s="37"/>
      <c r="T23" s="36"/>
      <c r="U23" s="36"/>
      <c r="V23" s="36"/>
      <c r="W23" s="36"/>
      <c r="X23" s="36"/>
      <c r="Y23" s="38"/>
      <c r="Z23" s="39"/>
      <c r="AA23" s="39"/>
      <c r="AB23" s="36"/>
      <c r="AC23" s="36"/>
      <c r="AD23" s="36"/>
      <c r="AE23" s="36"/>
      <c r="AF23" s="36"/>
      <c r="AG23" s="36"/>
      <c r="AH23" s="36"/>
      <c r="AI23" s="36"/>
      <c r="AJ23" s="36"/>
      <c r="AK23" s="36"/>
      <c r="AL23" s="36"/>
      <c r="AM23" s="36"/>
      <c r="AN23" s="36"/>
    </row>
    <row r="24" spans="1:42" x14ac:dyDescent="0.35">
      <c r="A24" s="34"/>
      <c r="B24" s="35" t="s">
        <v>31</v>
      </c>
      <c r="C24" s="36"/>
      <c r="D24" s="36"/>
      <c r="E24" s="36"/>
      <c r="F24" s="36"/>
      <c r="G24" s="36"/>
      <c r="H24" s="36"/>
      <c r="I24" s="36"/>
      <c r="J24" s="36"/>
      <c r="K24" s="36"/>
      <c r="L24" s="36"/>
      <c r="M24" s="36"/>
      <c r="N24" s="36"/>
      <c r="O24" s="36"/>
      <c r="P24" s="36"/>
      <c r="Q24" s="36"/>
      <c r="R24" s="37"/>
      <c r="S24" s="37"/>
      <c r="T24" s="36"/>
      <c r="U24" s="36"/>
      <c r="V24" s="36"/>
      <c r="W24" s="36"/>
      <c r="X24" s="36"/>
      <c r="Y24" s="38"/>
      <c r="Z24" s="39"/>
      <c r="AA24" s="39"/>
      <c r="AB24" s="36"/>
      <c r="AC24" s="36"/>
      <c r="AD24" s="36"/>
      <c r="AE24" s="36"/>
      <c r="AF24" s="36"/>
      <c r="AG24" s="36"/>
      <c r="AH24" s="36"/>
      <c r="AI24" s="36"/>
      <c r="AJ24" s="36"/>
      <c r="AK24" s="36"/>
      <c r="AL24" s="36"/>
      <c r="AM24" s="36"/>
      <c r="AN24" s="36"/>
    </row>
    <row r="25" spans="1:42" ht="15" thickBot="1" x14ac:dyDescent="0.4">
      <c r="A25" s="40"/>
      <c r="B25" s="41" t="s">
        <v>38</v>
      </c>
      <c r="C25" s="42"/>
      <c r="D25" s="42"/>
      <c r="E25" s="42"/>
      <c r="F25" s="42"/>
      <c r="G25" s="42"/>
      <c r="H25" s="42"/>
      <c r="I25" s="42"/>
      <c r="J25" s="42"/>
      <c r="K25" s="42"/>
      <c r="L25" s="42"/>
      <c r="M25" s="42"/>
      <c r="N25" s="42"/>
      <c r="O25" s="42"/>
      <c r="P25" s="42"/>
      <c r="Q25" s="42"/>
      <c r="R25" s="47"/>
      <c r="S25" s="42"/>
      <c r="T25" s="42"/>
      <c r="U25" s="72"/>
      <c r="V25" s="73"/>
      <c r="W25" s="74"/>
      <c r="X25" s="42"/>
      <c r="Y25" s="43"/>
      <c r="Z25" s="44"/>
      <c r="AA25" s="44"/>
      <c r="AB25" s="42"/>
      <c r="AC25" s="42"/>
      <c r="AD25" s="42"/>
      <c r="AE25" s="42"/>
      <c r="AF25" s="42"/>
      <c r="AG25" s="42"/>
      <c r="AH25" s="42"/>
      <c r="AI25" s="42"/>
      <c r="AJ25" s="42"/>
      <c r="AK25" s="42"/>
      <c r="AL25" s="42"/>
      <c r="AM25" s="42"/>
      <c r="AN25" s="42"/>
    </row>
    <row r="26" spans="1:42" x14ac:dyDescent="0.35">
      <c r="A26" s="7"/>
    </row>
    <row r="27" spans="1:42" ht="21" customHeight="1" x14ac:dyDescent="0.35">
      <c r="A27" s="8"/>
      <c r="B27" s="9"/>
      <c r="AF27" s="671" t="s">
        <v>133</v>
      </c>
      <c r="AG27" s="671"/>
      <c r="AH27" s="671"/>
      <c r="AI27" s="671"/>
      <c r="AJ27" s="671"/>
      <c r="AK27" s="671"/>
      <c r="AL27" s="671"/>
      <c r="AM27" s="671"/>
      <c r="AN27" s="671"/>
      <c r="AO27" s="64"/>
      <c r="AP27" s="64"/>
    </row>
    <row r="28" spans="1:42" ht="17.5" x14ac:dyDescent="0.35">
      <c r="A28" s="59" t="s">
        <v>39</v>
      </c>
      <c r="B28" s="10"/>
      <c r="AF28" s="672" t="s">
        <v>131</v>
      </c>
      <c r="AG28" s="672"/>
      <c r="AH28" s="672"/>
      <c r="AI28" s="672"/>
      <c r="AJ28" s="672"/>
      <c r="AK28" s="672"/>
      <c r="AL28" s="672"/>
      <c r="AM28" s="672"/>
      <c r="AN28" s="672"/>
      <c r="AO28" s="65"/>
      <c r="AP28" s="65"/>
    </row>
    <row r="29" spans="1:42" x14ac:dyDescent="0.35">
      <c r="A29" s="60" t="s">
        <v>40</v>
      </c>
      <c r="B29" s="11"/>
    </row>
    <row r="30" spans="1:42" x14ac:dyDescent="0.35">
      <c r="A30" s="60" t="s">
        <v>41</v>
      </c>
      <c r="B30" s="12"/>
    </row>
    <row r="31" spans="1:42" x14ac:dyDescent="0.35">
      <c r="A31" s="60"/>
      <c r="B31" s="12"/>
    </row>
    <row r="32" spans="1:42" x14ac:dyDescent="0.35">
      <c r="A32" s="13"/>
    </row>
    <row r="33" spans="1:42" x14ac:dyDescent="0.35">
      <c r="A33" s="7"/>
    </row>
    <row r="34" spans="1:42" ht="18.5" x14ac:dyDescent="0.45">
      <c r="A34" s="13"/>
      <c r="AF34" s="673" t="s">
        <v>132</v>
      </c>
      <c r="AG34" s="673"/>
      <c r="AH34" s="673"/>
      <c r="AI34" s="673"/>
      <c r="AJ34" s="673"/>
      <c r="AK34" s="673"/>
      <c r="AL34" s="673"/>
      <c r="AM34" s="673"/>
      <c r="AN34" s="673"/>
      <c r="AO34" s="61"/>
      <c r="AP34" s="61"/>
    </row>
    <row r="35" spans="1:42" x14ac:dyDescent="0.35">
      <c r="A35" s="13" t="s">
        <v>42</v>
      </c>
    </row>
    <row r="36" spans="1:42" x14ac:dyDescent="0.35">
      <c r="A36" s="7" t="s">
        <v>54</v>
      </c>
    </row>
    <row r="37" spans="1:42" x14ac:dyDescent="0.35">
      <c r="A37" s="7" t="s">
        <v>55</v>
      </c>
    </row>
    <row r="38" spans="1:42" x14ac:dyDescent="0.35">
      <c r="A38" s="7" t="s">
        <v>56</v>
      </c>
    </row>
  </sheetData>
  <mergeCells count="31">
    <mergeCell ref="A1:AN1"/>
    <mergeCell ref="A2:AN2"/>
    <mergeCell ref="A5:AN5"/>
    <mergeCell ref="AC7:AC8"/>
    <mergeCell ref="AD7:AE7"/>
    <mergeCell ref="L7:M7"/>
    <mergeCell ref="A3:C3"/>
    <mergeCell ref="AL7:AL8"/>
    <mergeCell ref="A6:AN6"/>
    <mergeCell ref="F7:G7"/>
    <mergeCell ref="A4:C4"/>
    <mergeCell ref="E7:E8"/>
    <mergeCell ref="J7:K7"/>
    <mergeCell ref="B7:B8"/>
    <mergeCell ref="N7:O7"/>
    <mergeCell ref="D7:D8"/>
    <mergeCell ref="C7:C8"/>
    <mergeCell ref="P7:Q7"/>
    <mergeCell ref="AJ7:AJ8"/>
    <mergeCell ref="A7:A8"/>
    <mergeCell ref="AN7:AN8"/>
    <mergeCell ref="H7:I7"/>
    <mergeCell ref="AF7:AF8"/>
    <mergeCell ref="AF34:AN34"/>
    <mergeCell ref="R7:AA7"/>
    <mergeCell ref="AK7:AK8"/>
    <mergeCell ref="AB7:AB8"/>
    <mergeCell ref="AG7:AI7"/>
    <mergeCell ref="AF28:AN28"/>
    <mergeCell ref="AM7:AM8"/>
    <mergeCell ref="AF27:AN27"/>
  </mergeCells>
  <phoneticPr fontId="22" type="noConversion"/>
  <pageMargins left="0.7" right="0.7" top="0.75" bottom="0.75" header="0.3" footer="0.3"/>
  <pageSetup paperSize="9" orientation="portrait" verticalDpi="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Q40"/>
  <sheetViews>
    <sheetView topLeftCell="W2" workbookViewId="0">
      <selection activeCell="M12" sqref="M12:O12"/>
    </sheetView>
  </sheetViews>
  <sheetFormatPr defaultRowHeight="14.5" x14ac:dyDescent="0.35"/>
  <cols>
    <col min="1" max="1" width="5.7265625" customWidth="1"/>
    <col min="2" max="2" width="16.1796875" customWidth="1"/>
    <col min="20" max="25" width="5.453125" customWidth="1"/>
    <col min="26" max="26" width="8.54296875" customWidth="1"/>
    <col min="27" max="27" width="10.1796875" customWidth="1"/>
    <col min="28" max="28" width="8.81640625" customWidth="1"/>
    <col min="29" max="29" width="9.453125" customWidth="1"/>
    <col min="37" max="40" width="9.54296875" bestFit="1" customWidth="1"/>
    <col min="41" max="41" width="9.453125" customWidth="1"/>
  </cols>
  <sheetData>
    <row r="1" spans="1:43" ht="15.5" x14ac:dyDescent="0.35">
      <c r="A1" s="795" t="s">
        <v>63</v>
      </c>
      <c r="B1" s="795"/>
      <c r="C1" s="795"/>
      <c r="D1" s="795"/>
      <c r="E1" s="795"/>
      <c r="F1" s="795"/>
      <c r="G1" s="795"/>
      <c r="H1" s="795"/>
      <c r="I1" s="795"/>
      <c r="J1" s="795"/>
      <c r="K1" s="795"/>
      <c r="L1" s="795"/>
      <c r="M1" s="795"/>
      <c r="N1" s="795"/>
      <c r="O1" s="795"/>
      <c r="P1" s="795"/>
      <c r="Q1" s="795"/>
      <c r="R1" s="795"/>
      <c r="S1" s="795"/>
      <c r="T1" s="795"/>
      <c r="U1" s="795"/>
      <c r="V1" s="795"/>
      <c r="W1" s="795"/>
      <c r="X1" s="795"/>
      <c r="Y1" s="795"/>
      <c r="Z1" s="795"/>
      <c r="AA1" s="795"/>
      <c r="AB1" s="795"/>
      <c r="AC1" s="795"/>
      <c r="AD1" s="795"/>
      <c r="AE1" s="795"/>
      <c r="AF1" s="795"/>
      <c r="AG1" s="795"/>
      <c r="AH1" s="795"/>
      <c r="AI1" s="795"/>
      <c r="AJ1" s="795"/>
      <c r="AK1" s="795"/>
      <c r="AL1" s="795"/>
      <c r="AM1" s="795"/>
      <c r="AN1" s="795"/>
      <c r="AO1" s="795"/>
      <c r="AP1" s="795"/>
      <c r="AQ1" s="795"/>
    </row>
    <row r="2" spans="1:43" ht="15.5" x14ac:dyDescent="0.35">
      <c r="A2" s="800" t="s">
        <v>0</v>
      </c>
      <c r="B2" s="800"/>
      <c r="C2" s="800"/>
      <c r="D2" s="800"/>
      <c r="E2" s="800"/>
      <c r="F2" s="800"/>
      <c r="G2" s="800"/>
      <c r="H2" s="800"/>
      <c r="I2" s="800"/>
      <c r="J2" s="800"/>
      <c r="K2" s="800"/>
      <c r="L2" s="800"/>
      <c r="M2" s="800"/>
      <c r="N2" s="800"/>
      <c r="O2" s="800"/>
      <c r="P2" s="800"/>
      <c r="Q2" s="800"/>
      <c r="R2" s="800"/>
      <c r="S2" s="800"/>
      <c r="T2" s="800"/>
      <c r="U2" s="800"/>
      <c r="V2" s="800"/>
      <c r="W2" s="800"/>
      <c r="X2" s="800"/>
      <c r="Y2" s="800"/>
      <c r="Z2" s="800"/>
      <c r="AA2" s="800"/>
      <c r="AB2" s="800"/>
      <c r="AC2" s="800"/>
      <c r="AD2" s="800"/>
      <c r="AE2" s="800"/>
      <c r="AF2" s="800"/>
      <c r="AG2" s="800"/>
      <c r="AH2" s="800"/>
      <c r="AI2" s="800"/>
      <c r="AJ2" s="800"/>
      <c r="AK2" s="800"/>
      <c r="AL2" s="800"/>
      <c r="AM2" s="800"/>
      <c r="AN2" s="800"/>
      <c r="AO2" s="800"/>
      <c r="AP2" s="800"/>
      <c r="AQ2" s="800"/>
    </row>
    <row r="3" spans="1:43" x14ac:dyDescent="0.35">
      <c r="A3" s="798" t="s">
        <v>134</v>
      </c>
      <c r="B3" s="798"/>
      <c r="C3" s="798"/>
      <c r="D3" s="62"/>
      <c r="E3" s="62"/>
      <c r="F3" s="62"/>
      <c r="G3" s="62"/>
      <c r="H3" s="62"/>
      <c r="I3" s="62"/>
      <c r="J3" s="62"/>
      <c r="K3" s="62"/>
      <c r="L3" s="62"/>
      <c r="M3" s="62"/>
      <c r="N3" s="62"/>
      <c r="O3" s="62"/>
      <c r="P3" s="62"/>
      <c r="Q3" s="62"/>
      <c r="R3" s="62"/>
      <c r="S3" s="62"/>
      <c r="T3" s="62"/>
      <c r="U3" s="62"/>
      <c r="V3" s="62"/>
      <c r="W3" s="62"/>
      <c r="X3" s="62"/>
      <c r="Y3" s="62"/>
      <c r="Z3" s="62"/>
      <c r="AA3" s="62"/>
      <c r="AB3" s="62"/>
      <c r="AC3" s="62"/>
      <c r="AD3" s="62"/>
      <c r="AE3" s="62"/>
      <c r="AF3" s="62"/>
      <c r="AG3" s="62"/>
      <c r="AH3" s="62"/>
      <c r="AI3" s="62"/>
      <c r="AJ3" s="62"/>
      <c r="AK3" s="62"/>
      <c r="AL3" s="62"/>
      <c r="AM3" s="62"/>
      <c r="AN3" s="62"/>
      <c r="AO3" s="62"/>
      <c r="AP3" s="62"/>
    </row>
    <row r="4" spans="1:43" x14ac:dyDescent="0.35">
      <c r="A4" s="798" t="s">
        <v>135</v>
      </c>
      <c r="B4" s="798"/>
      <c r="C4" s="798"/>
      <c r="D4" s="62"/>
      <c r="E4" s="62"/>
      <c r="F4" s="62"/>
      <c r="G4" s="62"/>
      <c r="H4" s="62"/>
      <c r="I4" s="62"/>
      <c r="J4" s="62"/>
      <c r="K4" s="62"/>
      <c r="L4" s="62"/>
      <c r="M4" s="62"/>
      <c r="N4" s="62"/>
      <c r="O4" s="62"/>
      <c r="P4" s="62"/>
      <c r="Q4" s="62"/>
      <c r="R4" s="62"/>
      <c r="S4" s="62"/>
      <c r="T4" s="62"/>
      <c r="U4" s="62"/>
      <c r="V4" s="62"/>
      <c r="W4" s="62"/>
      <c r="X4" s="62"/>
      <c r="Y4" s="62"/>
      <c r="Z4" s="62"/>
      <c r="AA4" s="62"/>
      <c r="AB4" s="62"/>
      <c r="AC4" s="62"/>
      <c r="AD4" s="62"/>
      <c r="AE4" s="62"/>
      <c r="AF4" s="62"/>
      <c r="AG4" s="62"/>
      <c r="AH4" s="62"/>
      <c r="AI4" s="62"/>
      <c r="AJ4" s="62"/>
      <c r="AK4" s="62"/>
      <c r="AL4" s="62"/>
      <c r="AM4" s="62"/>
      <c r="AN4" s="62"/>
      <c r="AO4" s="62"/>
      <c r="AP4" s="62"/>
    </row>
    <row r="5" spans="1:43" ht="15.5" x14ac:dyDescent="0.35">
      <c r="A5" s="795" t="s">
        <v>64</v>
      </c>
      <c r="B5" s="795"/>
      <c r="C5" s="795"/>
      <c r="D5" s="795"/>
      <c r="E5" s="795"/>
      <c r="F5" s="795"/>
      <c r="G5" s="795"/>
      <c r="H5" s="795"/>
      <c r="I5" s="795"/>
      <c r="J5" s="795"/>
      <c r="K5" s="795"/>
      <c r="L5" s="795"/>
      <c r="M5" s="795"/>
      <c r="N5" s="795"/>
      <c r="O5" s="795"/>
      <c r="P5" s="795"/>
      <c r="Q5" s="795"/>
      <c r="R5" s="795"/>
      <c r="S5" s="795"/>
      <c r="T5" s="795"/>
      <c r="U5" s="795"/>
      <c r="V5" s="795"/>
      <c r="W5" s="795"/>
      <c r="X5" s="795"/>
      <c r="Y5" s="795"/>
      <c r="Z5" s="795"/>
      <c r="AA5" s="795"/>
      <c r="AB5" s="795"/>
      <c r="AC5" s="795"/>
      <c r="AD5" s="795"/>
      <c r="AE5" s="795"/>
      <c r="AF5" s="795"/>
      <c r="AG5" s="795"/>
      <c r="AH5" s="795"/>
      <c r="AI5" s="795"/>
      <c r="AJ5" s="795"/>
      <c r="AK5" s="795"/>
      <c r="AL5" s="795"/>
      <c r="AM5" s="795"/>
      <c r="AN5" s="795"/>
      <c r="AO5" s="795"/>
      <c r="AP5" s="795"/>
      <c r="AQ5" s="795"/>
    </row>
    <row r="6" spans="1:43" ht="16" thickBot="1" x14ac:dyDescent="0.4">
      <c r="A6" s="800" t="s">
        <v>2</v>
      </c>
      <c r="B6" s="800"/>
      <c r="C6" s="800"/>
      <c r="D6" s="800"/>
      <c r="E6" s="800"/>
      <c r="F6" s="800"/>
      <c r="G6" s="800"/>
      <c r="H6" s="800"/>
      <c r="I6" s="800"/>
      <c r="J6" s="800"/>
      <c r="K6" s="800"/>
      <c r="L6" s="800"/>
      <c r="M6" s="800"/>
      <c r="N6" s="800"/>
      <c r="O6" s="800"/>
      <c r="P6" s="800"/>
      <c r="Q6" s="800"/>
      <c r="R6" s="800"/>
      <c r="S6" s="800"/>
      <c r="T6" s="800"/>
      <c r="U6" s="800"/>
      <c r="V6" s="800"/>
      <c r="W6" s="800"/>
      <c r="X6" s="800"/>
      <c r="Y6" s="800"/>
      <c r="Z6" s="800"/>
      <c r="AA6" s="800"/>
      <c r="AB6" s="800"/>
      <c r="AC6" s="800"/>
      <c r="AD6" s="800"/>
      <c r="AE6" s="800"/>
      <c r="AF6" s="800"/>
      <c r="AG6" s="800"/>
      <c r="AH6" s="800"/>
      <c r="AI6" s="800"/>
      <c r="AJ6" s="800"/>
      <c r="AK6" s="800"/>
      <c r="AL6" s="800"/>
      <c r="AM6" s="800"/>
      <c r="AN6" s="800"/>
      <c r="AO6" s="800"/>
      <c r="AP6" s="800"/>
      <c r="AQ6" s="800"/>
    </row>
    <row r="7" spans="1:43" ht="33.75" customHeight="1" thickBot="1" x14ac:dyDescent="0.4">
      <c r="A7" s="791" t="s">
        <v>3</v>
      </c>
      <c r="B7" s="791" t="s">
        <v>4</v>
      </c>
      <c r="C7" s="791" t="s">
        <v>5</v>
      </c>
      <c r="D7" s="791" t="s">
        <v>6</v>
      </c>
      <c r="E7" s="791" t="s">
        <v>7</v>
      </c>
      <c r="F7" s="793" t="s">
        <v>8</v>
      </c>
      <c r="G7" s="794"/>
      <c r="H7" s="793" t="s">
        <v>9</v>
      </c>
      <c r="I7" s="794"/>
      <c r="J7" s="793" t="s">
        <v>10</v>
      </c>
      <c r="K7" s="794"/>
      <c r="L7" s="793" t="s">
        <v>11</v>
      </c>
      <c r="M7" s="794"/>
      <c r="N7" s="793" t="s">
        <v>12</v>
      </c>
      <c r="O7" s="794"/>
      <c r="P7" s="793" t="s">
        <v>13</v>
      </c>
      <c r="Q7" s="794"/>
      <c r="R7" s="786" t="s">
        <v>83</v>
      </c>
      <c r="S7" s="787"/>
      <c r="T7" s="787"/>
      <c r="U7" s="787"/>
      <c r="V7" s="787"/>
      <c r="W7" s="787"/>
      <c r="X7" s="787"/>
      <c r="Y7" s="787"/>
      <c r="Z7" s="787"/>
      <c r="AA7" s="788"/>
      <c r="AB7" s="791" t="s">
        <v>98</v>
      </c>
      <c r="AC7" s="791" t="s">
        <v>99</v>
      </c>
      <c r="AD7" s="791" t="s">
        <v>14</v>
      </c>
      <c r="AE7" s="791" t="s">
        <v>15</v>
      </c>
      <c r="AF7" s="786" t="s">
        <v>16</v>
      </c>
      <c r="AG7" s="787"/>
      <c r="AH7" s="788"/>
      <c r="AI7" s="791" t="s">
        <v>16</v>
      </c>
      <c r="AJ7" s="789" t="s">
        <v>101</v>
      </c>
      <c r="AK7" s="793" t="s">
        <v>95</v>
      </c>
      <c r="AL7" s="801"/>
      <c r="AM7" s="801"/>
      <c r="AN7" s="801"/>
      <c r="AO7" s="801"/>
      <c r="AP7" s="794"/>
      <c r="AQ7" s="791" t="s">
        <v>17</v>
      </c>
    </row>
    <row r="8" spans="1:43" ht="50.5" thickBot="1" x14ac:dyDescent="0.4">
      <c r="A8" s="792"/>
      <c r="B8" s="792"/>
      <c r="C8" s="792"/>
      <c r="D8" s="792"/>
      <c r="E8" s="792"/>
      <c r="F8" s="1" t="s">
        <v>18</v>
      </c>
      <c r="G8" s="1" t="s">
        <v>19</v>
      </c>
      <c r="H8" s="1" t="s">
        <v>20</v>
      </c>
      <c r="I8" s="1" t="s">
        <v>19</v>
      </c>
      <c r="J8" s="1" t="s">
        <v>21</v>
      </c>
      <c r="K8" s="1" t="s">
        <v>19</v>
      </c>
      <c r="L8" s="1" t="s">
        <v>21</v>
      </c>
      <c r="M8" s="1" t="s">
        <v>19</v>
      </c>
      <c r="N8" s="1" t="s">
        <v>20</v>
      </c>
      <c r="O8" s="1" t="s">
        <v>19</v>
      </c>
      <c r="P8" s="1" t="s">
        <v>20</v>
      </c>
      <c r="Q8" s="1" t="s">
        <v>19</v>
      </c>
      <c r="R8" s="24" t="s">
        <v>84</v>
      </c>
      <c r="S8" s="24" t="s">
        <v>85</v>
      </c>
      <c r="T8" s="24" t="s">
        <v>86</v>
      </c>
      <c r="U8" s="24" t="s">
        <v>20</v>
      </c>
      <c r="V8" s="24" t="s">
        <v>87</v>
      </c>
      <c r="W8" s="24" t="s">
        <v>91</v>
      </c>
      <c r="X8" s="24" t="s">
        <v>92</v>
      </c>
      <c r="Y8" s="24" t="s">
        <v>90</v>
      </c>
      <c r="Z8" s="24" t="s">
        <v>88</v>
      </c>
      <c r="AA8" s="24" t="s">
        <v>89</v>
      </c>
      <c r="AB8" s="792"/>
      <c r="AC8" s="792"/>
      <c r="AD8" s="792"/>
      <c r="AE8" s="792"/>
      <c r="AF8" s="67" t="s">
        <v>138</v>
      </c>
      <c r="AG8" s="67" t="s">
        <v>139</v>
      </c>
      <c r="AH8" s="67" t="s">
        <v>140</v>
      </c>
      <c r="AI8" s="792"/>
      <c r="AJ8" s="790"/>
      <c r="AK8" s="30" t="s">
        <v>24</v>
      </c>
      <c r="AL8" s="1" t="s">
        <v>65</v>
      </c>
      <c r="AM8" s="1" t="s">
        <v>66</v>
      </c>
      <c r="AN8" s="1" t="s">
        <v>57</v>
      </c>
      <c r="AO8" s="1" t="s">
        <v>58</v>
      </c>
      <c r="AP8" s="2" t="s">
        <v>67</v>
      </c>
      <c r="AQ8" s="792"/>
    </row>
    <row r="9" spans="1:43" ht="15" thickBot="1" x14ac:dyDescent="0.4">
      <c r="A9" s="3"/>
      <c r="B9" s="2" t="s">
        <v>28</v>
      </c>
      <c r="C9" s="2">
        <v>1</v>
      </c>
      <c r="D9" s="2">
        <v>2</v>
      </c>
      <c r="E9" s="2">
        <v>3</v>
      </c>
      <c r="F9" s="2">
        <v>4</v>
      </c>
      <c r="G9" s="2">
        <v>5</v>
      </c>
      <c r="H9" s="2">
        <v>6</v>
      </c>
      <c r="I9" s="2">
        <v>7</v>
      </c>
      <c r="J9" s="2">
        <v>8</v>
      </c>
      <c r="K9" s="2">
        <v>9</v>
      </c>
      <c r="L9" s="2">
        <v>10</v>
      </c>
      <c r="M9" s="2">
        <v>11</v>
      </c>
      <c r="N9" s="2">
        <v>12</v>
      </c>
      <c r="O9" s="2">
        <v>13</v>
      </c>
      <c r="P9" s="2">
        <v>14</v>
      </c>
      <c r="Q9" s="2">
        <v>15</v>
      </c>
      <c r="R9" s="2"/>
      <c r="S9" s="2"/>
      <c r="T9" s="2"/>
      <c r="U9" s="2"/>
      <c r="V9" s="2"/>
      <c r="W9" s="2"/>
      <c r="X9" s="2"/>
      <c r="Y9" s="2"/>
      <c r="Z9" s="2"/>
      <c r="AA9" s="2"/>
      <c r="AB9" s="2">
        <v>16</v>
      </c>
      <c r="AC9" s="2">
        <v>17</v>
      </c>
      <c r="AD9" s="2">
        <v>18</v>
      </c>
      <c r="AE9" s="2">
        <v>19</v>
      </c>
      <c r="AF9" s="2"/>
      <c r="AG9" s="2"/>
      <c r="AH9" s="2"/>
      <c r="AI9" s="2">
        <v>20</v>
      </c>
      <c r="AJ9" s="2"/>
      <c r="AK9" s="31">
        <v>21</v>
      </c>
      <c r="AL9" s="2">
        <v>22</v>
      </c>
      <c r="AM9" s="2">
        <v>23</v>
      </c>
      <c r="AN9" s="2">
        <v>24</v>
      </c>
      <c r="AO9" s="2">
        <v>25</v>
      </c>
      <c r="AP9" s="2">
        <v>26</v>
      </c>
      <c r="AQ9" s="2">
        <v>27</v>
      </c>
    </row>
    <row r="10" spans="1:43" ht="15" thickBot="1" x14ac:dyDescent="0.4">
      <c r="A10" s="3" t="s">
        <v>29</v>
      </c>
      <c r="B10" s="4" t="s">
        <v>30</v>
      </c>
      <c r="C10" s="2"/>
      <c r="D10" s="2"/>
      <c r="E10" s="2"/>
      <c r="F10" s="2"/>
      <c r="G10" s="2"/>
      <c r="H10" s="2"/>
      <c r="I10" s="2"/>
      <c r="J10" s="2"/>
      <c r="K10" s="2"/>
      <c r="L10" s="2"/>
      <c r="M10" s="2"/>
      <c r="N10" s="2"/>
      <c r="O10" s="2"/>
      <c r="P10" s="2"/>
      <c r="Q10" s="2"/>
      <c r="R10" s="2"/>
      <c r="S10" s="2"/>
      <c r="T10" s="2"/>
      <c r="U10" s="2"/>
      <c r="V10" s="2"/>
      <c r="W10" s="2"/>
      <c r="X10" s="2"/>
      <c r="Y10" s="2"/>
      <c r="Z10" s="2"/>
      <c r="AA10" s="2"/>
      <c r="AB10" s="2"/>
      <c r="AC10" s="2"/>
      <c r="AD10" s="2"/>
      <c r="AE10" s="2"/>
      <c r="AF10" s="2"/>
      <c r="AG10" s="2"/>
      <c r="AH10" s="2"/>
      <c r="AI10" s="2"/>
      <c r="AJ10" s="2"/>
      <c r="AK10" s="31"/>
      <c r="AL10" s="2"/>
      <c r="AM10" s="2"/>
      <c r="AN10" s="2"/>
      <c r="AO10" s="2"/>
      <c r="AP10" s="2"/>
      <c r="AQ10" s="2"/>
    </row>
    <row r="11" spans="1:43" ht="15" thickBot="1" x14ac:dyDescent="0.4">
      <c r="A11" s="3"/>
      <c r="B11" s="4" t="s">
        <v>100</v>
      </c>
      <c r="C11" s="22">
        <f>EDATE(AE11,-(35*12))</f>
        <v>29403</v>
      </c>
      <c r="D11" s="2"/>
      <c r="E11" s="2"/>
      <c r="F11" s="23">
        <v>3</v>
      </c>
      <c r="G11" s="22">
        <v>41395</v>
      </c>
      <c r="H11" s="2"/>
      <c r="I11" s="2"/>
      <c r="J11" s="2"/>
      <c r="K11" s="2"/>
      <c r="L11" s="2"/>
      <c r="M11" s="2"/>
      <c r="N11" s="2"/>
      <c r="O11" s="2"/>
      <c r="P11" s="2">
        <v>2.67</v>
      </c>
      <c r="Q11" s="22">
        <f>EDATE(G11,-3*12)</f>
        <v>40299</v>
      </c>
      <c r="R11" s="22">
        <f>EDATE(AE11,-60)</f>
        <v>40360</v>
      </c>
      <c r="S11" s="22">
        <v>40663</v>
      </c>
      <c r="T11" s="2">
        <f>ROUND(DAYS360(R11,S11,0)/30,0)</f>
        <v>10</v>
      </c>
      <c r="U11" s="23">
        <v>2.67</v>
      </c>
      <c r="V11" s="2"/>
      <c r="W11" s="2"/>
      <c r="X11" s="2"/>
      <c r="Y11" s="23">
        <f>U11+V11+W11*U11+(U11+V11+W11*U11)*X11</f>
        <v>2.67</v>
      </c>
      <c r="Z11" s="25">
        <v>730000</v>
      </c>
      <c r="AA11" s="25">
        <f>T11*Y11*Z11</f>
        <v>19491000</v>
      </c>
      <c r="AB11" s="26">
        <f>Z15*Y15</f>
        <v>3450000</v>
      </c>
      <c r="AC11" s="27">
        <f>ROUND(AA16/60,0)</f>
        <v>2813770</v>
      </c>
      <c r="AD11" s="2" t="s">
        <v>103</v>
      </c>
      <c r="AE11" s="22">
        <v>42186</v>
      </c>
      <c r="AF11" s="68">
        <f>DATEDIF(C11,AE11,"y")</f>
        <v>35</v>
      </c>
      <c r="AG11" s="68">
        <f>DATEDIF(C11,AE11,"ym")</f>
        <v>0</v>
      </c>
      <c r="AH11" s="68">
        <f>DATEDIF(C11,AE11,"md")</f>
        <v>0</v>
      </c>
      <c r="AI11" s="68" t="str">
        <f>IF(AG11=0,AF11&amp;"t",IF(AND(AG11=11,AH11&gt;14),(AF11+1)&amp;"t",IF(AH11&gt;14,AF11&amp;"t"&amp;(AG11+1)&amp;"th",AF11&amp;"t"&amp;AG11&amp;"th")))</f>
        <v>35t</v>
      </c>
      <c r="AJ11" s="2">
        <v>5</v>
      </c>
      <c r="AK11" s="29">
        <f>SUM(AL11:AP11)</f>
        <v>49261965</v>
      </c>
      <c r="AL11" s="26">
        <f>AJ11*AB11</f>
        <v>17250000</v>
      </c>
      <c r="AM11" s="27">
        <v>9000000</v>
      </c>
      <c r="AN11" s="26">
        <f>3*AB11</f>
        <v>10350000</v>
      </c>
      <c r="AO11" s="26">
        <f>(VALUE(LEFT(AD11,2)+IF(LEN(AD11)&lt;4,0,IF(VALUE(MID(AD11,4,LEN(AD11)-4))&gt;6,1,IF(VALUE(MID(AD11,4,LEN(AD11)-4))&gt;2,0.5,0)))))*AC11*1/2</f>
        <v>12661965</v>
      </c>
      <c r="AP11" s="2"/>
      <c r="AQ11" s="2"/>
    </row>
    <row r="12" spans="1:43" ht="15" thickBot="1" x14ac:dyDescent="0.4">
      <c r="A12" s="3"/>
      <c r="B12" s="4"/>
      <c r="C12" s="2"/>
      <c r="D12" s="2"/>
      <c r="E12" s="2"/>
      <c r="F12" s="23"/>
      <c r="G12" s="2"/>
      <c r="H12" s="2"/>
      <c r="I12" s="2"/>
      <c r="J12" s="2"/>
      <c r="K12" s="2"/>
      <c r="L12" s="2"/>
      <c r="M12" s="2"/>
      <c r="N12" s="2"/>
      <c r="O12" s="2"/>
      <c r="P12" s="2"/>
      <c r="Q12" s="22"/>
      <c r="R12" s="22">
        <v>40664</v>
      </c>
      <c r="S12" s="22">
        <v>41029</v>
      </c>
      <c r="T12" s="2">
        <f>ROUND(DAYS360(R12,S12,0)/30,0)</f>
        <v>12</v>
      </c>
      <c r="U12" s="23">
        <v>2.67</v>
      </c>
      <c r="V12" s="2"/>
      <c r="W12" s="2"/>
      <c r="X12" s="2"/>
      <c r="Y12" s="23">
        <f>U12+V12+W12*U12+(U12+V12+W12*U12)*X12</f>
        <v>2.67</v>
      </c>
      <c r="Z12" s="25">
        <v>830000</v>
      </c>
      <c r="AA12" s="25">
        <f>T12*Y12*Z12</f>
        <v>26593200</v>
      </c>
      <c r="AB12" s="2"/>
      <c r="AC12" s="2"/>
      <c r="AD12" s="2"/>
      <c r="AE12" s="2"/>
      <c r="AF12" s="2"/>
      <c r="AG12" s="2"/>
      <c r="AH12" s="2"/>
      <c r="AI12" s="2"/>
      <c r="AJ12" s="2"/>
      <c r="AK12" s="31"/>
      <c r="AL12" s="2"/>
      <c r="AM12" s="2"/>
      <c r="AN12" s="2"/>
      <c r="AO12" s="2"/>
      <c r="AP12" s="2"/>
      <c r="AQ12" s="2"/>
    </row>
    <row r="13" spans="1:43" ht="15" thickBot="1" x14ac:dyDescent="0.4">
      <c r="A13" s="3"/>
      <c r="B13" s="4"/>
      <c r="C13" s="2"/>
      <c r="D13" s="2"/>
      <c r="E13" s="2"/>
      <c r="F13" s="23"/>
      <c r="G13" s="2"/>
      <c r="H13" s="2"/>
      <c r="I13" s="2"/>
      <c r="J13" s="2"/>
      <c r="K13" s="2"/>
      <c r="L13" s="2"/>
      <c r="M13" s="2"/>
      <c r="N13" s="2"/>
      <c r="O13" s="2"/>
      <c r="P13" s="2"/>
      <c r="Q13" s="22"/>
      <c r="R13" s="22">
        <v>41030</v>
      </c>
      <c r="S13" s="22">
        <v>41394</v>
      </c>
      <c r="T13" s="2">
        <f>ROUND(DAYS360(R13,S13,0)/30,0)</f>
        <v>12</v>
      </c>
      <c r="U13" s="23">
        <v>2.67</v>
      </c>
      <c r="V13" s="2"/>
      <c r="W13" s="2"/>
      <c r="X13" s="2"/>
      <c r="Y13" s="23">
        <f>U13+V13+W13*U13+(U13+V13+W13*U13)*X13</f>
        <v>2.67</v>
      </c>
      <c r="Z13" s="25">
        <v>1050000</v>
      </c>
      <c r="AA13" s="25">
        <f>T13*Y13*Z13</f>
        <v>33642000</v>
      </c>
      <c r="AB13" s="2"/>
      <c r="AC13" s="2"/>
      <c r="AD13" s="2"/>
      <c r="AE13" s="2"/>
      <c r="AF13" s="2"/>
      <c r="AG13" s="2"/>
      <c r="AH13" s="2"/>
      <c r="AI13" s="2"/>
      <c r="AJ13" s="2"/>
      <c r="AK13" s="31"/>
      <c r="AL13" s="2"/>
      <c r="AM13" s="2"/>
      <c r="AN13" s="2"/>
      <c r="AO13" s="2"/>
      <c r="AP13" s="2"/>
      <c r="AQ13" s="2"/>
    </row>
    <row r="14" spans="1:43" ht="15" thickBot="1" x14ac:dyDescent="0.4">
      <c r="A14" s="3"/>
      <c r="B14" s="4"/>
      <c r="C14" s="2"/>
      <c r="D14" s="2"/>
      <c r="E14" s="2"/>
      <c r="F14" s="23"/>
      <c r="G14" s="2"/>
      <c r="H14" s="2"/>
      <c r="I14" s="2"/>
      <c r="J14" s="2"/>
      <c r="K14" s="2"/>
      <c r="L14" s="2"/>
      <c r="M14" s="2"/>
      <c r="N14" s="2"/>
      <c r="O14" s="2"/>
      <c r="P14" s="2"/>
      <c r="Q14" s="22"/>
      <c r="R14" s="22">
        <v>41395</v>
      </c>
      <c r="S14" s="22">
        <v>41455</v>
      </c>
      <c r="T14" s="2">
        <f>ROUND(DAYS360(R14,S14,0)/30,0)</f>
        <v>2</v>
      </c>
      <c r="U14" s="23">
        <v>3</v>
      </c>
      <c r="V14" s="2"/>
      <c r="W14" s="2"/>
      <c r="X14" s="2"/>
      <c r="Y14" s="23">
        <f>U14+V14+W14*U14+(U14+V14+W14*U14)*X14</f>
        <v>3</v>
      </c>
      <c r="Z14" s="25">
        <v>1050000</v>
      </c>
      <c r="AA14" s="25">
        <f>T14*Y14*Z14</f>
        <v>6300000</v>
      </c>
      <c r="AB14" s="2"/>
      <c r="AC14" s="2"/>
      <c r="AD14" s="2"/>
      <c r="AE14" s="2"/>
      <c r="AF14" s="2"/>
      <c r="AG14" s="2"/>
      <c r="AH14" s="2"/>
      <c r="AI14" s="2"/>
      <c r="AJ14" s="2"/>
      <c r="AK14" s="31"/>
      <c r="AL14" s="2"/>
      <c r="AM14" s="2"/>
      <c r="AN14" s="2"/>
      <c r="AO14" s="2"/>
      <c r="AP14" s="2"/>
      <c r="AQ14" s="2"/>
    </row>
    <row r="15" spans="1:43" ht="15" thickBot="1" x14ac:dyDescent="0.4">
      <c r="A15" s="3"/>
      <c r="B15" s="4"/>
      <c r="C15" s="2"/>
      <c r="D15" s="2"/>
      <c r="E15" s="2"/>
      <c r="F15" s="23"/>
      <c r="G15" s="2"/>
      <c r="H15" s="2"/>
      <c r="I15" s="2"/>
      <c r="J15" s="2"/>
      <c r="K15" s="2"/>
      <c r="L15" s="2"/>
      <c r="M15" s="2"/>
      <c r="N15" s="2"/>
      <c r="O15" s="2"/>
      <c r="P15" s="2"/>
      <c r="Q15" s="22"/>
      <c r="R15" s="22">
        <v>41456</v>
      </c>
      <c r="S15" s="22">
        <v>42186</v>
      </c>
      <c r="T15" s="2">
        <f>ROUND(DAYS360(R15,S15,0)/30,0)</f>
        <v>24</v>
      </c>
      <c r="U15" s="23">
        <v>3</v>
      </c>
      <c r="V15" s="2"/>
      <c r="W15" s="2"/>
      <c r="X15" s="2"/>
      <c r="Y15" s="23">
        <f>U15+V15+W15*U15+(U15+V15+W15*U15)*X15</f>
        <v>3</v>
      </c>
      <c r="Z15" s="25">
        <v>1150000</v>
      </c>
      <c r="AA15" s="25">
        <f>T15*Y15*Z15</f>
        <v>82800000</v>
      </c>
      <c r="AB15" s="2"/>
      <c r="AC15" s="2"/>
      <c r="AD15" s="2"/>
      <c r="AE15" s="2"/>
      <c r="AF15" s="2"/>
      <c r="AG15" s="2"/>
      <c r="AH15" s="2"/>
      <c r="AI15" s="2"/>
      <c r="AJ15" s="2"/>
      <c r="AK15" s="31"/>
      <c r="AL15" s="2"/>
      <c r="AM15" s="2"/>
      <c r="AN15" s="2"/>
      <c r="AO15" s="2"/>
      <c r="AP15" s="2"/>
      <c r="AQ15" s="2"/>
    </row>
    <row r="16" spans="1:43" ht="15" thickBot="1" x14ac:dyDescent="0.4">
      <c r="A16" s="3"/>
      <c r="B16" s="4"/>
      <c r="C16" s="2"/>
      <c r="D16" s="2"/>
      <c r="E16" s="2"/>
      <c r="F16" s="23"/>
      <c r="G16" s="2"/>
      <c r="H16" s="2"/>
      <c r="I16" s="2"/>
      <c r="J16" s="2"/>
      <c r="K16" s="2"/>
      <c r="L16" s="2"/>
      <c r="M16" s="2"/>
      <c r="N16" s="2"/>
      <c r="O16" s="2"/>
      <c r="P16" s="2"/>
      <c r="Q16" s="22"/>
      <c r="R16" s="22"/>
      <c r="S16" s="22"/>
      <c r="T16" s="2">
        <f>SUM(T11:T15)</f>
        <v>60</v>
      </c>
      <c r="U16" s="23"/>
      <c r="V16" s="22"/>
      <c r="W16" s="22"/>
      <c r="X16" s="22"/>
      <c r="Y16" s="23"/>
      <c r="Z16" s="25"/>
      <c r="AA16" s="25">
        <f>SUM(AA11:AA15)</f>
        <v>168826200</v>
      </c>
      <c r="AB16" s="2"/>
      <c r="AC16" s="2"/>
      <c r="AD16" s="2"/>
      <c r="AE16" s="2"/>
      <c r="AF16" s="2"/>
      <c r="AG16" s="2"/>
      <c r="AH16" s="2"/>
      <c r="AI16" s="2"/>
      <c r="AJ16" s="2"/>
      <c r="AK16" s="31"/>
      <c r="AL16" s="2"/>
      <c r="AM16" s="2"/>
      <c r="AN16" s="2"/>
      <c r="AO16" s="2"/>
      <c r="AP16" s="2"/>
      <c r="AQ16" s="2"/>
    </row>
    <row r="17" spans="1:43" ht="15" thickBot="1" x14ac:dyDescent="0.4">
      <c r="A17" s="3" t="s">
        <v>32</v>
      </c>
      <c r="B17" s="4" t="s">
        <v>33</v>
      </c>
      <c r="C17" s="2"/>
      <c r="D17" s="2"/>
      <c r="E17" s="2"/>
      <c r="F17" s="23"/>
      <c r="G17" s="2"/>
      <c r="H17" s="2"/>
      <c r="I17" s="2"/>
      <c r="J17" s="2"/>
      <c r="K17" s="2"/>
      <c r="L17" s="2"/>
      <c r="M17" s="2"/>
      <c r="N17" s="2"/>
      <c r="O17" s="2"/>
      <c r="P17" s="2"/>
      <c r="Q17" s="22"/>
      <c r="R17" s="22"/>
      <c r="S17" s="22"/>
      <c r="T17" s="2"/>
      <c r="U17" s="23"/>
      <c r="V17" s="22"/>
      <c r="W17" s="22"/>
      <c r="X17" s="22"/>
      <c r="Y17" s="23"/>
      <c r="Z17" s="25"/>
      <c r="AA17" s="25"/>
      <c r="AB17" s="2"/>
      <c r="AC17" s="2"/>
      <c r="AD17" s="2"/>
      <c r="AE17" s="2"/>
      <c r="AF17" s="2"/>
      <c r="AG17" s="2"/>
      <c r="AH17" s="2"/>
      <c r="AI17" s="2"/>
      <c r="AJ17" s="2"/>
      <c r="AK17" s="31"/>
      <c r="AL17" s="2"/>
      <c r="AM17" s="2"/>
      <c r="AN17" s="2"/>
      <c r="AO17" s="2"/>
      <c r="AP17" s="2"/>
      <c r="AQ17" s="2"/>
    </row>
    <row r="18" spans="1:43" ht="15" thickBot="1" x14ac:dyDescent="0.4">
      <c r="A18" s="3"/>
      <c r="B18" s="4" t="s">
        <v>31</v>
      </c>
      <c r="C18" s="2"/>
      <c r="D18" s="2"/>
      <c r="E18" s="2"/>
      <c r="F18" s="23"/>
      <c r="G18" s="2"/>
      <c r="H18" s="2"/>
      <c r="I18" s="2"/>
      <c r="J18" s="2"/>
      <c r="K18" s="2"/>
      <c r="L18" s="2"/>
      <c r="M18" s="2"/>
      <c r="N18" s="2"/>
      <c r="O18" s="2"/>
      <c r="P18" s="2"/>
      <c r="Q18" s="22"/>
      <c r="R18" s="22"/>
      <c r="S18" s="22"/>
      <c r="T18" s="2"/>
      <c r="U18" s="23"/>
      <c r="V18" s="22"/>
      <c r="W18" s="22"/>
      <c r="X18" s="22"/>
      <c r="Y18" s="23"/>
      <c r="Z18" s="25"/>
      <c r="AA18" s="25"/>
      <c r="AB18" s="2"/>
      <c r="AC18" s="2"/>
      <c r="AD18" s="2"/>
      <c r="AE18" s="2"/>
      <c r="AF18" s="2"/>
      <c r="AG18" s="2"/>
      <c r="AH18" s="2"/>
      <c r="AI18" s="2"/>
      <c r="AJ18" s="2"/>
      <c r="AK18" s="31"/>
      <c r="AL18" s="2"/>
      <c r="AM18" s="2"/>
      <c r="AN18" s="2"/>
      <c r="AO18" s="2"/>
      <c r="AP18" s="2"/>
      <c r="AQ18" s="2"/>
    </row>
    <row r="19" spans="1:43" ht="15" thickBot="1" x14ac:dyDescent="0.4">
      <c r="A19" s="3" t="s">
        <v>34</v>
      </c>
      <c r="B19" s="4" t="s">
        <v>35</v>
      </c>
      <c r="C19" s="2"/>
      <c r="D19" s="2"/>
      <c r="E19" s="2"/>
      <c r="F19" s="23"/>
      <c r="G19" s="2"/>
      <c r="H19" s="2"/>
      <c r="I19" s="2"/>
      <c r="J19" s="2"/>
      <c r="K19" s="2"/>
      <c r="L19" s="2"/>
      <c r="M19" s="2"/>
      <c r="N19" s="2"/>
      <c r="O19" s="2"/>
      <c r="P19" s="2"/>
      <c r="Q19" s="22"/>
      <c r="R19" s="22"/>
      <c r="S19" s="22"/>
      <c r="T19" s="2"/>
      <c r="U19" s="23"/>
      <c r="V19" s="22"/>
      <c r="W19" s="22"/>
      <c r="X19" s="22"/>
      <c r="Y19" s="23"/>
      <c r="Z19" s="25"/>
      <c r="AA19" s="25"/>
      <c r="AB19" s="2"/>
      <c r="AC19" s="2"/>
      <c r="AD19" s="2"/>
      <c r="AE19" s="2"/>
      <c r="AF19" s="2"/>
      <c r="AG19" s="2"/>
      <c r="AH19" s="2"/>
      <c r="AI19" s="2"/>
      <c r="AJ19" s="2"/>
      <c r="AK19" s="31"/>
      <c r="AL19" s="2"/>
      <c r="AM19" s="2"/>
      <c r="AN19" s="2"/>
      <c r="AO19" s="2"/>
      <c r="AP19" s="2"/>
      <c r="AQ19" s="2"/>
    </row>
    <row r="20" spans="1:43" ht="15" thickBot="1" x14ac:dyDescent="0.4">
      <c r="A20" s="3"/>
      <c r="B20" s="4" t="s">
        <v>31</v>
      </c>
      <c r="C20" s="2"/>
      <c r="D20" s="2"/>
      <c r="E20" s="2"/>
      <c r="F20" s="23"/>
      <c r="G20" s="2"/>
      <c r="H20" s="2"/>
      <c r="I20" s="2"/>
      <c r="J20" s="2"/>
      <c r="K20" s="2"/>
      <c r="L20" s="2"/>
      <c r="M20" s="2"/>
      <c r="N20" s="2"/>
      <c r="O20" s="2"/>
      <c r="P20" s="2"/>
      <c r="Q20" s="22"/>
      <c r="R20" s="22"/>
      <c r="S20" s="22"/>
      <c r="T20" s="2"/>
      <c r="U20" s="23"/>
      <c r="V20" s="22"/>
      <c r="W20" s="22"/>
      <c r="X20" s="22"/>
      <c r="Y20" s="23"/>
      <c r="Z20" s="25"/>
      <c r="AA20" s="25"/>
      <c r="AB20" s="2"/>
      <c r="AC20" s="2"/>
      <c r="AD20" s="2"/>
      <c r="AE20" s="2"/>
      <c r="AF20" s="2"/>
      <c r="AG20" s="2"/>
      <c r="AH20" s="2"/>
      <c r="AI20" s="2"/>
      <c r="AJ20" s="2"/>
      <c r="AK20" s="31"/>
      <c r="AL20" s="2"/>
      <c r="AM20" s="2"/>
      <c r="AN20" s="2"/>
      <c r="AO20" s="2"/>
      <c r="AP20" s="2"/>
      <c r="AQ20" s="2"/>
    </row>
    <row r="21" spans="1:43" ht="15" thickBot="1" x14ac:dyDescent="0.4">
      <c r="A21" s="3" t="s">
        <v>36</v>
      </c>
      <c r="B21" s="4" t="s">
        <v>37</v>
      </c>
      <c r="C21" s="2"/>
      <c r="D21" s="2"/>
      <c r="E21" s="2"/>
      <c r="F21" s="23"/>
      <c r="G21" s="2"/>
      <c r="H21" s="2"/>
      <c r="I21" s="2"/>
      <c r="J21" s="2"/>
      <c r="K21" s="2"/>
      <c r="L21" s="2"/>
      <c r="M21" s="2"/>
      <c r="N21" s="2"/>
      <c r="O21" s="2"/>
      <c r="P21" s="2"/>
      <c r="Q21" s="22"/>
      <c r="R21" s="22"/>
      <c r="S21" s="22"/>
      <c r="T21" s="2"/>
      <c r="U21" s="23"/>
      <c r="V21" s="22"/>
      <c r="W21" s="22"/>
      <c r="X21" s="22"/>
      <c r="Y21" s="23"/>
      <c r="Z21" s="25"/>
      <c r="AA21" s="25"/>
      <c r="AB21" s="2"/>
      <c r="AC21" s="2"/>
      <c r="AD21" s="2"/>
      <c r="AE21" s="2"/>
      <c r="AF21" s="2"/>
      <c r="AG21" s="2"/>
      <c r="AH21" s="2"/>
      <c r="AI21" s="2"/>
      <c r="AJ21" s="2"/>
      <c r="AK21" s="31"/>
      <c r="AL21" s="2"/>
      <c r="AM21" s="2"/>
      <c r="AN21" s="2"/>
      <c r="AO21" s="2"/>
      <c r="AP21" s="2"/>
      <c r="AQ21" s="2"/>
    </row>
    <row r="22" spans="1:43" ht="15" thickBot="1" x14ac:dyDescent="0.4">
      <c r="A22" s="3"/>
      <c r="B22" s="4" t="s">
        <v>31</v>
      </c>
      <c r="C22" s="2"/>
      <c r="D22" s="2"/>
      <c r="E22" s="2"/>
      <c r="F22" s="23"/>
      <c r="G22" s="2"/>
      <c r="H22" s="2"/>
      <c r="I22" s="2"/>
      <c r="J22" s="2"/>
      <c r="K22" s="2"/>
      <c r="L22" s="2"/>
      <c r="M22" s="2"/>
      <c r="N22" s="2"/>
      <c r="O22" s="2"/>
      <c r="P22" s="2"/>
      <c r="Q22" s="22"/>
      <c r="R22" s="22"/>
      <c r="S22" s="22"/>
      <c r="T22" s="2"/>
      <c r="U22" s="23"/>
      <c r="V22" s="22"/>
      <c r="W22" s="22"/>
      <c r="X22" s="22"/>
      <c r="Y22" s="23"/>
      <c r="Z22" s="25"/>
      <c r="AA22" s="25"/>
      <c r="AB22" s="2"/>
      <c r="AC22" s="2"/>
      <c r="AD22" s="2"/>
      <c r="AE22" s="2"/>
      <c r="AF22" s="2"/>
      <c r="AG22" s="2"/>
      <c r="AH22" s="2"/>
      <c r="AI22" s="2"/>
      <c r="AJ22" s="2"/>
      <c r="AK22" s="31"/>
      <c r="AL22" s="2"/>
      <c r="AM22" s="2"/>
      <c r="AN22" s="2"/>
      <c r="AO22" s="2"/>
      <c r="AP22" s="2"/>
      <c r="AQ22" s="2"/>
    </row>
    <row r="23" spans="1:43" ht="15" thickBot="1" x14ac:dyDescent="0.4">
      <c r="A23" s="3"/>
      <c r="B23" s="4"/>
      <c r="C23" s="2"/>
      <c r="D23" s="2"/>
      <c r="E23" s="2"/>
      <c r="F23" s="23"/>
      <c r="G23" s="2"/>
      <c r="H23" s="2"/>
      <c r="I23" s="2"/>
      <c r="J23" s="2"/>
      <c r="K23" s="2"/>
      <c r="L23" s="2"/>
      <c r="M23" s="2"/>
      <c r="N23" s="2"/>
      <c r="O23" s="2"/>
      <c r="P23" s="2"/>
      <c r="Q23" s="22"/>
      <c r="R23" s="22"/>
      <c r="S23" s="22"/>
      <c r="T23" s="2"/>
      <c r="U23" s="23"/>
      <c r="V23" s="22"/>
      <c r="W23" s="22"/>
      <c r="X23" s="22"/>
      <c r="Y23" s="23"/>
      <c r="Z23" s="25"/>
      <c r="AA23" s="25"/>
      <c r="AB23" s="2"/>
      <c r="AC23" s="2"/>
      <c r="AD23" s="2"/>
      <c r="AE23" s="2"/>
      <c r="AF23" s="2"/>
      <c r="AG23" s="2"/>
      <c r="AH23" s="2"/>
      <c r="AI23" s="2"/>
      <c r="AJ23" s="2"/>
      <c r="AK23" s="31"/>
      <c r="AL23" s="2"/>
      <c r="AM23" s="2"/>
      <c r="AN23" s="2"/>
      <c r="AO23" s="2"/>
      <c r="AP23" s="2"/>
      <c r="AQ23" s="2"/>
    </row>
    <row r="24" spans="1:43" ht="15" thickBot="1" x14ac:dyDescent="0.4">
      <c r="A24" s="3"/>
      <c r="B24" s="4"/>
      <c r="C24" s="2"/>
      <c r="D24" s="2"/>
      <c r="E24" s="2"/>
      <c r="F24" s="23"/>
      <c r="G24" s="2"/>
      <c r="H24" s="2"/>
      <c r="I24" s="2"/>
      <c r="J24" s="2"/>
      <c r="K24" s="2"/>
      <c r="L24" s="2"/>
      <c r="M24" s="2"/>
      <c r="N24" s="2"/>
      <c r="O24" s="2"/>
      <c r="P24" s="2"/>
      <c r="Q24" s="22"/>
      <c r="R24" s="22"/>
      <c r="S24" s="22"/>
      <c r="T24" s="2"/>
      <c r="U24" s="23"/>
      <c r="V24" s="22"/>
      <c r="W24" s="22"/>
      <c r="X24" s="22"/>
      <c r="Y24" s="23"/>
      <c r="Z24" s="25"/>
      <c r="AA24" s="25"/>
      <c r="AB24" s="2"/>
      <c r="AC24" s="2"/>
      <c r="AD24" s="2"/>
      <c r="AE24" s="2"/>
      <c r="AF24" s="2"/>
      <c r="AG24" s="2"/>
      <c r="AH24" s="2"/>
      <c r="AI24" s="2"/>
      <c r="AJ24" s="2"/>
      <c r="AK24" s="31"/>
      <c r="AL24" s="2"/>
      <c r="AM24" s="2"/>
      <c r="AN24" s="2"/>
      <c r="AO24" s="2"/>
      <c r="AP24" s="2"/>
      <c r="AQ24" s="2"/>
    </row>
    <row r="25" spans="1:43" ht="15" thickBot="1" x14ac:dyDescent="0.4">
      <c r="A25" s="3"/>
      <c r="B25" s="5" t="s">
        <v>38</v>
      </c>
      <c r="C25" s="2"/>
      <c r="D25" s="2"/>
      <c r="E25" s="2"/>
      <c r="F25" s="23"/>
      <c r="G25" s="2"/>
      <c r="H25" s="2"/>
      <c r="I25" s="2"/>
      <c r="J25" s="2"/>
      <c r="K25" s="2"/>
      <c r="L25" s="2"/>
      <c r="M25" s="2"/>
      <c r="N25" s="2"/>
      <c r="O25" s="2"/>
      <c r="P25" s="2"/>
      <c r="Q25" s="2"/>
      <c r="R25" s="22"/>
      <c r="S25" s="22"/>
      <c r="T25" s="2"/>
      <c r="U25" s="23"/>
      <c r="V25" s="22"/>
      <c r="W25" s="22"/>
      <c r="X25" s="22"/>
      <c r="Y25" s="23"/>
      <c r="Z25" s="25"/>
      <c r="AA25" s="25"/>
      <c r="AB25" s="2"/>
      <c r="AC25" s="2"/>
      <c r="AD25" s="2"/>
      <c r="AE25" s="2"/>
      <c r="AF25" s="2"/>
      <c r="AG25" s="2"/>
      <c r="AH25" s="2"/>
      <c r="AI25" s="2"/>
      <c r="AJ25" s="2"/>
      <c r="AK25" s="31"/>
      <c r="AL25" s="2"/>
      <c r="AM25" s="2"/>
      <c r="AN25" s="2"/>
      <c r="AO25" s="2"/>
      <c r="AP25" s="2"/>
      <c r="AQ25" s="2"/>
    </row>
    <row r="26" spans="1:43" x14ac:dyDescent="0.35">
      <c r="A26" s="7"/>
    </row>
    <row r="27" spans="1:43" ht="16.5" customHeight="1" x14ac:dyDescent="0.35">
      <c r="A27" s="8"/>
      <c r="B27" s="9"/>
      <c r="AI27" s="671" t="s">
        <v>133</v>
      </c>
      <c r="AJ27" s="671"/>
      <c r="AK27" s="671"/>
      <c r="AL27" s="671"/>
      <c r="AM27" s="671"/>
      <c r="AN27" s="671"/>
      <c r="AO27" s="64"/>
      <c r="AP27" s="64"/>
    </row>
    <row r="28" spans="1:43" ht="17.5" x14ac:dyDescent="0.35">
      <c r="A28" s="59" t="s">
        <v>39</v>
      </c>
      <c r="B28" s="10"/>
      <c r="AI28" s="672" t="s">
        <v>131</v>
      </c>
      <c r="AJ28" s="672"/>
      <c r="AK28" s="672"/>
      <c r="AL28" s="672"/>
      <c r="AM28" s="672"/>
      <c r="AN28" s="672"/>
      <c r="AO28" s="65"/>
      <c r="AP28" s="65"/>
    </row>
    <row r="29" spans="1:43" x14ac:dyDescent="0.35">
      <c r="A29" s="60" t="s">
        <v>40</v>
      </c>
      <c r="B29" s="11"/>
    </row>
    <row r="30" spans="1:43" x14ac:dyDescent="0.35">
      <c r="A30" s="60" t="s">
        <v>41</v>
      </c>
      <c r="B30" s="12"/>
    </row>
    <row r="31" spans="1:43" x14ac:dyDescent="0.35">
      <c r="A31" s="60"/>
      <c r="B31" s="12"/>
    </row>
    <row r="32" spans="1:43" x14ac:dyDescent="0.35">
      <c r="A32" s="13"/>
    </row>
    <row r="33" spans="1:42" x14ac:dyDescent="0.35">
      <c r="A33" s="7"/>
    </row>
    <row r="34" spans="1:42" ht="18.5" x14ac:dyDescent="0.45">
      <c r="A34" s="13"/>
      <c r="AI34" s="673" t="s">
        <v>132</v>
      </c>
      <c r="AJ34" s="673"/>
      <c r="AK34" s="673"/>
      <c r="AL34" s="673"/>
      <c r="AM34" s="673"/>
      <c r="AN34" s="673"/>
      <c r="AO34" s="61"/>
      <c r="AP34" s="61"/>
    </row>
    <row r="35" spans="1:42" x14ac:dyDescent="0.35">
      <c r="A35" s="13" t="s">
        <v>42</v>
      </c>
      <c r="R35" s="48"/>
      <c r="S35" s="49"/>
      <c r="T35" s="49"/>
      <c r="U35" s="52"/>
      <c r="V35" s="53"/>
      <c r="W35" s="54"/>
      <c r="X35" s="49"/>
      <c r="Y35" s="50"/>
      <c r="Z35" s="51"/>
      <c r="AA35" s="51"/>
    </row>
    <row r="36" spans="1:42" s="19" customFormat="1" ht="18.75" customHeight="1" x14ac:dyDescent="0.35">
      <c r="A36" s="802" t="s">
        <v>68</v>
      </c>
      <c r="B36" s="802"/>
      <c r="C36" s="802"/>
      <c r="D36" s="802"/>
      <c r="E36" s="802"/>
      <c r="F36" s="802"/>
      <c r="G36" s="802"/>
      <c r="H36" s="802"/>
      <c r="I36" s="802" t="s">
        <v>69</v>
      </c>
      <c r="J36" s="802"/>
      <c r="K36" s="802"/>
      <c r="L36" s="802"/>
      <c r="M36" s="802"/>
      <c r="N36" s="802"/>
      <c r="O36" s="802"/>
      <c r="P36" s="802"/>
      <c r="R36"/>
      <c r="S36"/>
      <c r="T36"/>
      <c r="U36"/>
      <c r="V36"/>
      <c r="W36"/>
      <c r="X36"/>
      <c r="Y36"/>
      <c r="Z36"/>
      <c r="AA36"/>
    </row>
    <row r="37" spans="1:42" s="19" customFormat="1" ht="18.75" customHeight="1" x14ac:dyDescent="0.35">
      <c r="A37" s="802" t="s">
        <v>70</v>
      </c>
      <c r="B37" s="802"/>
      <c r="C37" s="802"/>
      <c r="D37" s="802"/>
      <c r="E37" s="802"/>
      <c r="F37" s="802"/>
      <c r="G37" s="802"/>
      <c r="H37" s="802"/>
      <c r="I37" s="802" t="s">
        <v>71</v>
      </c>
      <c r="J37" s="802"/>
      <c r="K37" s="802"/>
      <c r="L37" s="802"/>
      <c r="M37" s="802"/>
      <c r="N37" s="802"/>
      <c r="O37" s="802"/>
      <c r="P37" s="802"/>
      <c r="R37"/>
      <c r="S37"/>
      <c r="T37"/>
      <c r="U37"/>
      <c r="V37"/>
      <c r="W37"/>
      <c r="X37"/>
      <c r="Y37"/>
      <c r="Z37"/>
      <c r="AA37"/>
    </row>
    <row r="38" spans="1:42" s="19" customFormat="1" ht="18.75" customHeight="1" x14ac:dyDescent="0.35">
      <c r="A38" s="802" t="s">
        <v>55</v>
      </c>
      <c r="B38" s="802"/>
      <c r="C38" s="802"/>
      <c r="D38" s="802"/>
      <c r="E38" s="802"/>
      <c r="F38" s="802"/>
      <c r="G38" s="802"/>
      <c r="H38" s="802"/>
      <c r="I38" s="802" t="s">
        <v>72</v>
      </c>
      <c r="J38" s="802"/>
      <c r="K38" s="802"/>
      <c r="L38" s="802"/>
      <c r="M38" s="802"/>
      <c r="N38" s="802"/>
      <c r="O38" s="802"/>
      <c r="P38" s="802"/>
      <c r="R38"/>
      <c r="S38"/>
      <c r="T38"/>
      <c r="U38"/>
      <c r="V38"/>
      <c r="W38"/>
      <c r="X38"/>
      <c r="Y38"/>
      <c r="Z38"/>
      <c r="AA38"/>
    </row>
    <row r="39" spans="1:42" s="19" customFormat="1" ht="18.75" customHeight="1" x14ac:dyDescent="0.35">
      <c r="A39" s="802" t="s">
        <v>73</v>
      </c>
      <c r="B39" s="802"/>
      <c r="C39" s="802"/>
      <c r="D39" s="802"/>
      <c r="E39" s="802"/>
      <c r="F39" s="802"/>
      <c r="G39" s="802"/>
      <c r="H39" s="802"/>
      <c r="I39" s="802"/>
      <c r="J39" s="802"/>
      <c r="K39" s="802"/>
      <c r="L39" s="802"/>
      <c r="M39" s="802"/>
      <c r="N39" s="802"/>
      <c r="O39" s="802"/>
      <c r="P39" s="802"/>
      <c r="R39"/>
      <c r="S39"/>
      <c r="T39"/>
      <c r="U39"/>
      <c r="V39"/>
      <c r="W39"/>
      <c r="X39"/>
      <c r="Y39"/>
      <c r="Z39"/>
      <c r="AA39"/>
    </row>
    <row r="40" spans="1:42" s="19" customFormat="1" ht="18.75" customHeight="1" x14ac:dyDescent="0.35">
      <c r="A40" s="802" t="s">
        <v>74</v>
      </c>
      <c r="B40" s="802"/>
      <c r="C40" s="802"/>
      <c r="D40" s="802"/>
      <c r="E40" s="802"/>
      <c r="F40" s="802"/>
      <c r="G40" s="802"/>
      <c r="H40" s="802"/>
      <c r="I40" s="802"/>
      <c r="J40" s="802"/>
      <c r="K40" s="802"/>
      <c r="L40" s="802"/>
      <c r="M40" s="802"/>
      <c r="N40" s="802"/>
      <c r="O40" s="802"/>
      <c r="P40" s="802"/>
      <c r="R40"/>
      <c r="S40"/>
      <c r="T40"/>
      <c r="U40"/>
      <c r="V40"/>
      <c r="W40"/>
      <c r="X40"/>
      <c r="Y40"/>
      <c r="Z40"/>
      <c r="AA40"/>
    </row>
  </sheetData>
  <mergeCells count="40">
    <mergeCell ref="A38:H38"/>
    <mergeCell ref="A39:H39"/>
    <mergeCell ref="A40:H40"/>
    <mergeCell ref="I36:P36"/>
    <mergeCell ref="I37:P37"/>
    <mergeCell ref="I38:P38"/>
    <mergeCell ref="I39:P39"/>
    <mergeCell ref="I40:P40"/>
    <mergeCell ref="A37:H37"/>
    <mergeCell ref="A36:H36"/>
    <mergeCell ref="A7:A8"/>
    <mergeCell ref="H7:I7"/>
    <mergeCell ref="AI34:AN34"/>
    <mergeCell ref="AJ7:AJ8"/>
    <mergeCell ref="AF7:AH7"/>
    <mergeCell ref="AI27:AN27"/>
    <mergeCell ref="AI28:AN28"/>
    <mergeCell ref="AI7:AI8"/>
    <mergeCell ref="AK7:AP7"/>
    <mergeCell ref="D7:D8"/>
    <mergeCell ref="E7:E8"/>
    <mergeCell ref="L7:M7"/>
    <mergeCell ref="N7:O7"/>
    <mergeCell ref="P7:Q7"/>
    <mergeCell ref="A1:AQ1"/>
    <mergeCell ref="A2:AQ2"/>
    <mergeCell ref="A5:AQ5"/>
    <mergeCell ref="A6:AQ6"/>
    <mergeCell ref="AC7:AC8"/>
    <mergeCell ref="AD7:AD8"/>
    <mergeCell ref="AE7:AE8"/>
    <mergeCell ref="R7:AA7"/>
    <mergeCell ref="J7:K7"/>
    <mergeCell ref="AQ7:AQ8"/>
    <mergeCell ref="B7:B8"/>
    <mergeCell ref="C7:C8"/>
    <mergeCell ref="F7:G7"/>
    <mergeCell ref="A3:C3"/>
    <mergeCell ref="A4:C4"/>
    <mergeCell ref="AB7:AB8"/>
  </mergeCells>
  <phoneticPr fontId="22" type="noConversion"/>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31"/>
  <sheetViews>
    <sheetView topLeftCell="A7" workbookViewId="0">
      <selection activeCell="M12" sqref="M12:O12"/>
    </sheetView>
  </sheetViews>
  <sheetFormatPr defaultRowHeight="14.5" x14ac:dyDescent="0.35"/>
  <sheetData>
    <row r="1" spans="1:39" ht="15.5" x14ac:dyDescent="0.35">
      <c r="A1" s="14" t="s">
        <v>104</v>
      </c>
    </row>
    <row r="2" spans="1:39" x14ac:dyDescent="0.35">
      <c r="A2" s="15" t="s">
        <v>0</v>
      </c>
    </row>
    <row r="3" spans="1:39" x14ac:dyDescent="0.35">
      <c r="A3" s="798" t="s">
        <v>134</v>
      </c>
      <c r="B3" s="798"/>
      <c r="C3" s="798"/>
      <c r="D3" s="62"/>
      <c r="E3" s="62"/>
      <c r="F3" s="62"/>
      <c r="G3" s="62"/>
      <c r="H3" s="62"/>
      <c r="I3" s="62"/>
      <c r="J3" s="62"/>
      <c r="K3" s="62"/>
      <c r="L3" s="62"/>
      <c r="M3" s="62"/>
      <c r="N3" s="62"/>
      <c r="O3" s="62"/>
      <c r="P3" s="62"/>
      <c r="Q3" s="62"/>
      <c r="R3" s="62"/>
      <c r="S3" s="62"/>
      <c r="T3" s="62"/>
      <c r="U3" s="62"/>
      <c r="V3" s="62"/>
      <c r="W3" s="62"/>
      <c r="X3" s="62"/>
      <c r="Y3" s="62"/>
      <c r="Z3" s="62"/>
      <c r="AA3" s="62"/>
      <c r="AB3" s="62"/>
      <c r="AC3" s="62"/>
      <c r="AD3" s="62"/>
      <c r="AE3" s="62"/>
      <c r="AF3" s="62"/>
      <c r="AG3" s="62"/>
      <c r="AH3" s="62"/>
      <c r="AI3" s="62"/>
      <c r="AJ3" s="62"/>
      <c r="AK3" s="62"/>
      <c r="AL3" s="62"/>
      <c r="AM3" s="62"/>
    </row>
    <row r="4" spans="1:39" x14ac:dyDescent="0.35">
      <c r="A4" s="798" t="s">
        <v>135</v>
      </c>
      <c r="B4" s="798"/>
      <c r="C4" s="798"/>
      <c r="D4" s="62"/>
      <c r="E4" s="62"/>
      <c r="F4" s="62"/>
      <c r="G4" s="62"/>
      <c r="H4" s="62"/>
      <c r="I4" s="62"/>
      <c r="J4" s="62"/>
      <c r="K4" s="62"/>
      <c r="L4" s="62"/>
      <c r="M4" s="62"/>
      <c r="N4" s="62"/>
      <c r="O4" s="62"/>
      <c r="P4" s="62"/>
      <c r="Q4" s="62"/>
      <c r="R4" s="62"/>
      <c r="S4" s="62"/>
      <c r="T4" s="62"/>
      <c r="U4" s="62"/>
      <c r="V4" s="62"/>
      <c r="W4" s="62"/>
      <c r="X4" s="62"/>
      <c r="Y4" s="62"/>
      <c r="Z4" s="62"/>
      <c r="AA4" s="62"/>
      <c r="AB4" s="62"/>
      <c r="AC4" s="62"/>
      <c r="AD4" s="62"/>
      <c r="AE4" s="62"/>
      <c r="AF4" s="62"/>
      <c r="AG4" s="62"/>
      <c r="AH4" s="62"/>
      <c r="AI4" s="62"/>
      <c r="AJ4" s="62"/>
      <c r="AK4" s="62"/>
      <c r="AL4" s="62"/>
      <c r="AM4" s="62"/>
    </row>
    <row r="5" spans="1:39" ht="15" thickBot="1" x14ac:dyDescent="0.4">
      <c r="A5" s="803" t="s">
        <v>105</v>
      </c>
      <c r="B5" s="803"/>
      <c r="C5" s="803"/>
      <c r="D5" s="803"/>
      <c r="E5" s="803"/>
      <c r="F5" s="803"/>
      <c r="G5" s="803"/>
      <c r="H5" s="803"/>
      <c r="I5" s="803"/>
      <c r="J5" s="803"/>
      <c r="K5" s="803"/>
      <c r="L5" s="803"/>
    </row>
    <row r="6" spans="1:39" ht="25.5" customHeight="1" thickBot="1" x14ac:dyDescent="0.4">
      <c r="A6" s="804" t="s">
        <v>3</v>
      </c>
      <c r="B6" s="804" t="s">
        <v>106</v>
      </c>
      <c r="C6" s="806" t="s">
        <v>107</v>
      </c>
      <c r="D6" s="807"/>
      <c r="E6" s="807"/>
      <c r="F6" s="807"/>
      <c r="G6" s="808"/>
      <c r="H6" s="806" t="s">
        <v>108</v>
      </c>
      <c r="I6" s="807"/>
      <c r="J6" s="807"/>
      <c r="K6" s="807"/>
      <c r="L6" s="808"/>
    </row>
    <row r="7" spans="1:39" ht="150.5" thickBot="1" x14ac:dyDescent="0.4">
      <c r="A7" s="805"/>
      <c r="B7" s="805"/>
      <c r="C7" s="55" t="s">
        <v>22</v>
      </c>
      <c r="D7" s="55" t="s">
        <v>78</v>
      </c>
      <c r="E7" s="55" t="s">
        <v>109</v>
      </c>
      <c r="F7" s="55" t="s">
        <v>80</v>
      </c>
      <c r="G7" s="55" t="s">
        <v>110</v>
      </c>
      <c r="H7" s="55" t="s">
        <v>24</v>
      </c>
      <c r="I7" s="55" t="s">
        <v>111</v>
      </c>
      <c r="J7" s="55" t="s">
        <v>112</v>
      </c>
      <c r="K7" s="55" t="s">
        <v>113</v>
      </c>
      <c r="L7" s="55" t="s">
        <v>114</v>
      </c>
    </row>
    <row r="8" spans="1:39" ht="15" thickBot="1" x14ac:dyDescent="0.4">
      <c r="A8" s="56"/>
      <c r="B8" s="55" t="s">
        <v>28</v>
      </c>
      <c r="C8" s="55">
        <v>1</v>
      </c>
      <c r="D8" s="55">
        <v>2</v>
      </c>
      <c r="E8" s="55">
        <v>3</v>
      </c>
      <c r="F8" s="55">
        <v>4</v>
      </c>
      <c r="G8" s="55">
        <v>5</v>
      </c>
      <c r="H8" s="55">
        <v>6</v>
      </c>
      <c r="I8" s="55">
        <v>7</v>
      </c>
      <c r="J8" s="55">
        <v>8</v>
      </c>
      <c r="K8" s="55">
        <v>9</v>
      </c>
      <c r="L8" s="55">
        <v>10</v>
      </c>
    </row>
    <row r="9" spans="1:39" ht="25.5" thickBot="1" x14ac:dyDescent="0.4">
      <c r="A9" s="56" t="s">
        <v>29</v>
      </c>
      <c r="B9" s="57" t="s">
        <v>30</v>
      </c>
      <c r="C9" s="55"/>
      <c r="D9" s="55"/>
      <c r="E9" s="55"/>
      <c r="F9" s="55"/>
      <c r="G9" s="55"/>
      <c r="H9" s="55"/>
      <c r="I9" s="55"/>
      <c r="J9" s="55"/>
      <c r="K9" s="55"/>
      <c r="L9" s="55"/>
    </row>
    <row r="10" spans="1:39" ht="15" thickBot="1" x14ac:dyDescent="0.4">
      <c r="A10" s="56"/>
      <c r="B10" s="57" t="s">
        <v>31</v>
      </c>
      <c r="C10" s="55"/>
      <c r="D10" s="55"/>
      <c r="E10" s="55"/>
      <c r="F10" s="55"/>
      <c r="G10" s="55"/>
      <c r="H10" s="55"/>
      <c r="I10" s="55"/>
      <c r="J10" s="55"/>
      <c r="K10" s="55"/>
      <c r="L10" s="55"/>
    </row>
    <row r="11" spans="1:39" ht="25.5" thickBot="1" x14ac:dyDescent="0.4">
      <c r="A11" s="56" t="s">
        <v>32</v>
      </c>
      <c r="B11" s="57" t="s">
        <v>33</v>
      </c>
      <c r="C11" s="55"/>
      <c r="D11" s="55"/>
      <c r="E11" s="55"/>
      <c r="F11" s="55"/>
      <c r="G11" s="55"/>
      <c r="H11" s="55"/>
      <c r="I11" s="55"/>
      <c r="J11" s="55"/>
      <c r="K11" s="55"/>
      <c r="L11" s="55"/>
    </row>
    <row r="12" spans="1:39" ht="15" thickBot="1" x14ac:dyDescent="0.4">
      <c r="A12" s="56"/>
      <c r="B12" s="57" t="s">
        <v>31</v>
      </c>
      <c r="C12" s="55"/>
      <c r="D12" s="55"/>
      <c r="E12" s="55"/>
      <c r="F12" s="55"/>
      <c r="G12" s="55"/>
      <c r="H12" s="55"/>
      <c r="I12" s="55"/>
      <c r="J12" s="55"/>
      <c r="K12" s="55"/>
      <c r="L12" s="55"/>
    </row>
    <row r="13" spans="1:39" ht="38" thickBot="1" x14ac:dyDescent="0.4">
      <c r="A13" s="56" t="s">
        <v>34</v>
      </c>
      <c r="B13" s="57" t="s">
        <v>35</v>
      </c>
      <c r="C13" s="55"/>
      <c r="D13" s="55"/>
      <c r="E13" s="55"/>
      <c r="F13" s="55"/>
      <c r="G13" s="55"/>
      <c r="H13" s="55"/>
      <c r="I13" s="55"/>
      <c r="J13" s="55"/>
      <c r="K13" s="55"/>
      <c r="L13" s="55"/>
    </row>
    <row r="14" spans="1:39" ht="15" thickBot="1" x14ac:dyDescent="0.4">
      <c r="A14" s="56"/>
      <c r="B14" s="57" t="s">
        <v>31</v>
      </c>
      <c r="C14" s="55"/>
      <c r="D14" s="55"/>
      <c r="E14" s="55"/>
      <c r="F14" s="55"/>
      <c r="G14" s="55"/>
      <c r="H14" s="55"/>
      <c r="I14" s="55"/>
      <c r="J14" s="55"/>
      <c r="K14" s="55"/>
      <c r="L14" s="55"/>
    </row>
    <row r="15" spans="1:39" ht="25.5" thickBot="1" x14ac:dyDescent="0.4">
      <c r="A15" s="56" t="s">
        <v>36</v>
      </c>
      <c r="B15" s="57" t="s">
        <v>37</v>
      </c>
      <c r="C15" s="55"/>
      <c r="D15" s="55"/>
      <c r="E15" s="55"/>
      <c r="F15" s="55"/>
      <c r="G15" s="55"/>
      <c r="H15" s="55"/>
      <c r="I15" s="55"/>
      <c r="J15" s="55"/>
      <c r="K15" s="55"/>
      <c r="L15" s="55"/>
    </row>
    <row r="16" spans="1:39" ht="15" thickBot="1" x14ac:dyDescent="0.4">
      <c r="A16" s="56"/>
      <c r="B16" s="57" t="s">
        <v>31</v>
      </c>
      <c r="C16" s="55"/>
      <c r="D16" s="55"/>
      <c r="E16" s="55"/>
      <c r="F16" s="55"/>
      <c r="G16" s="55"/>
      <c r="H16" s="55"/>
      <c r="I16" s="55"/>
      <c r="J16" s="55"/>
      <c r="K16" s="55"/>
      <c r="L16" s="55"/>
    </row>
    <row r="17" spans="1:13" ht="26.5" thickBot="1" x14ac:dyDescent="0.4">
      <c r="A17" s="56"/>
      <c r="B17" s="58" t="s">
        <v>38</v>
      </c>
      <c r="C17" s="55"/>
      <c r="D17" s="55"/>
      <c r="E17" s="55"/>
      <c r="F17" s="55"/>
      <c r="G17" s="55"/>
      <c r="H17" s="55"/>
      <c r="I17" s="55"/>
      <c r="J17" s="55"/>
      <c r="K17" s="55"/>
      <c r="L17" s="55"/>
    </row>
    <row r="18" spans="1:13" x14ac:dyDescent="0.35">
      <c r="A18" s="7"/>
    </row>
    <row r="19" spans="1:13" ht="16.5" x14ac:dyDescent="0.35">
      <c r="A19" s="8"/>
      <c r="B19" s="9"/>
      <c r="H19" s="671" t="s">
        <v>133</v>
      </c>
      <c r="I19" s="671"/>
      <c r="J19" s="671"/>
      <c r="K19" s="671"/>
      <c r="L19" s="671"/>
      <c r="M19" s="671"/>
    </row>
    <row r="20" spans="1:13" ht="17.5" x14ac:dyDescent="0.35">
      <c r="A20" s="59" t="s">
        <v>39</v>
      </c>
      <c r="B20" s="10"/>
      <c r="H20" s="672" t="s">
        <v>131</v>
      </c>
      <c r="I20" s="672"/>
      <c r="J20" s="672"/>
      <c r="K20" s="672"/>
      <c r="L20" s="672"/>
      <c r="M20" s="672"/>
    </row>
    <row r="21" spans="1:13" x14ac:dyDescent="0.35">
      <c r="A21" s="60" t="s">
        <v>115</v>
      </c>
      <c r="B21" s="11"/>
    </row>
    <row r="22" spans="1:13" x14ac:dyDescent="0.35">
      <c r="A22" s="60" t="s">
        <v>116</v>
      </c>
      <c r="B22" s="12"/>
    </row>
    <row r="23" spans="1:13" x14ac:dyDescent="0.35">
      <c r="A23" s="13"/>
    </row>
    <row r="24" spans="1:13" x14ac:dyDescent="0.35">
      <c r="A24" s="7"/>
    </row>
    <row r="25" spans="1:13" x14ac:dyDescent="0.35">
      <c r="A25" s="7"/>
    </row>
    <row r="26" spans="1:13" ht="18.5" x14ac:dyDescent="0.45">
      <c r="A26" s="7"/>
      <c r="H26" s="673" t="s">
        <v>132</v>
      </c>
      <c r="I26" s="673"/>
      <c r="J26" s="673"/>
      <c r="K26" s="673"/>
      <c r="L26" s="673"/>
      <c r="M26" s="673"/>
    </row>
    <row r="28" spans="1:13" x14ac:dyDescent="0.35">
      <c r="A28" s="13" t="s">
        <v>42</v>
      </c>
    </row>
    <row r="29" spans="1:13" x14ac:dyDescent="0.35">
      <c r="A29" s="7" t="s">
        <v>117</v>
      </c>
    </row>
    <row r="30" spans="1:13" x14ac:dyDescent="0.35">
      <c r="A30" s="7" t="s">
        <v>118</v>
      </c>
    </row>
    <row r="31" spans="1:13" x14ac:dyDescent="0.35">
      <c r="A31" s="7" t="s">
        <v>119</v>
      </c>
    </row>
  </sheetData>
  <mergeCells count="10">
    <mergeCell ref="A3:C3"/>
    <mergeCell ref="A4:C4"/>
    <mergeCell ref="A5:L5"/>
    <mergeCell ref="H19:M19"/>
    <mergeCell ref="H26:M26"/>
    <mergeCell ref="A6:A7"/>
    <mergeCell ref="B6:B7"/>
    <mergeCell ref="C6:G6"/>
    <mergeCell ref="H6:L6"/>
    <mergeCell ref="H20:M20"/>
  </mergeCells>
  <phoneticPr fontId="22" type="noConversion"/>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27"/>
  <sheetViews>
    <sheetView workbookViewId="0">
      <selection activeCell="M12" sqref="M12:O12"/>
    </sheetView>
  </sheetViews>
  <sheetFormatPr defaultRowHeight="14.5" x14ac:dyDescent="0.35"/>
  <cols>
    <col min="3" max="5" width="33.81640625" customWidth="1"/>
  </cols>
  <sheetData>
    <row r="1" spans="1:5" ht="15.5" x14ac:dyDescent="0.35">
      <c r="A1" s="14" t="s">
        <v>120</v>
      </c>
    </row>
    <row r="2" spans="1:5" x14ac:dyDescent="0.35">
      <c r="A2" s="15" t="s">
        <v>0</v>
      </c>
    </row>
    <row r="3" spans="1:5" x14ac:dyDescent="0.35">
      <c r="A3" s="17" t="s">
        <v>1</v>
      </c>
    </row>
    <row r="4" spans="1:5" ht="15" thickBot="1" x14ac:dyDescent="0.4">
      <c r="A4" s="16" t="s">
        <v>121</v>
      </c>
    </row>
    <row r="5" spans="1:5" ht="38.25" customHeight="1" thickBot="1" x14ac:dyDescent="0.4">
      <c r="A5" s="804" t="s">
        <v>3</v>
      </c>
      <c r="B5" s="804" t="s">
        <v>122</v>
      </c>
      <c r="C5" s="806" t="s">
        <v>123</v>
      </c>
      <c r="D5" s="807"/>
      <c r="E5" s="808"/>
    </row>
    <row r="6" spans="1:5" ht="25.5" thickBot="1" x14ac:dyDescent="0.4">
      <c r="A6" s="805"/>
      <c r="B6" s="805"/>
      <c r="C6" s="55" t="s">
        <v>22</v>
      </c>
      <c r="D6" s="55" t="s">
        <v>124</v>
      </c>
      <c r="E6" s="55" t="s">
        <v>125</v>
      </c>
    </row>
    <row r="7" spans="1:5" ht="15" thickBot="1" x14ac:dyDescent="0.4">
      <c r="A7" s="56"/>
      <c r="B7" s="55" t="s">
        <v>28</v>
      </c>
      <c r="C7" s="55">
        <v>1</v>
      </c>
      <c r="D7" s="55">
        <v>2</v>
      </c>
      <c r="E7" s="55">
        <v>3</v>
      </c>
    </row>
    <row r="8" spans="1:5" ht="25.5" thickBot="1" x14ac:dyDescent="0.4">
      <c r="A8" s="56" t="s">
        <v>29</v>
      </c>
      <c r="B8" s="57" t="s">
        <v>30</v>
      </c>
      <c r="C8" s="55"/>
      <c r="D8" s="55"/>
      <c r="E8" s="55"/>
    </row>
    <row r="9" spans="1:5" ht="15" thickBot="1" x14ac:dyDescent="0.4">
      <c r="A9" s="56"/>
      <c r="B9" s="57" t="s">
        <v>31</v>
      </c>
      <c r="C9" s="55"/>
      <c r="D9" s="55"/>
      <c r="E9" s="55"/>
    </row>
    <row r="10" spans="1:5" ht="15" thickBot="1" x14ac:dyDescent="0.4">
      <c r="A10" s="56"/>
      <c r="B10" s="57"/>
      <c r="C10" s="55"/>
      <c r="D10" s="55"/>
      <c r="E10" s="55"/>
    </row>
    <row r="11" spans="1:5" ht="25.5" thickBot="1" x14ac:dyDescent="0.4">
      <c r="A11" s="56" t="s">
        <v>32</v>
      </c>
      <c r="B11" s="57" t="s">
        <v>33</v>
      </c>
      <c r="C11" s="55"/>
      <c r="D11" s="55"/>
      <c r="E11" s="55"/>
    </row>
    <row r="12" spans="1:5" ht="15" thickBot="1" x14ac:dyDescent="0.4">
      <c r="A12" s="56"/>
      <c r="B12" s="57" t="s">
        <v>126</v>
      </c>
      <c r="C12" s="55"/>
      <c r="D12" s="55"/>
      <c r="E12" s="55"/>
    </row>
    <row r="13" spans="1:5" ht="15" thickBot="1" x14ac:dyDescent="0.4">
      <c r="A13" s="56"/>
      <c r="B13" s="57"/>
      <c r="C13" s="55"/>
      <c r="D13" s="55"/>
      <c r="E13" s="55"/>
    </row>
    <row r="14" spans="1:5" ht="15" thickBot="1" x14ac:dyDescent="0.4">
      <c r="A14" s="56"/>
      <c r="B14" s="57"/>
      <c r="C14" s="55"/>
      <c r="D14" s="55"/>
      <c r="E14" s="55"/>
    </row>
    <row r="15" spans="1:5" ht="25.5" thickBot="1" x14ac:dyDescent="0.4">
      <c r="A15" s="56"/>
      <c r="B15" s="57" t="s">
        <v>127</v>
      </c>
      <c r="C15" s="55"/>
      <c r="D15" s="55"/>
      <c r="E15" s="55"/>
    </row>
    <row r="16" spans="1:5" x14ac:dyDescent="0.35">
      <c r="A16" s="7"/>
    </row>
    <row r="17" spans="1:13" ht="16.5" x14ac:dyDescent="0.35">
      <c r="A17" s="8"/>
      <c r="B17" s="9"/>
      <c r="D17" s="688" t="s">
        <v>133</v>
      </c>
      <c r="E17" s="688"/>
      <c r="H17" s="66"/>
      <c r="I17" s="66"/>
      <c r="J17" s="66"/>
      <c r="K17" s="66"/>
      <c r="L17" s="66"/>
      <c r="M17" s="66"/>
    </row>
    <row r="18" spans="1:13" ht="17.5" x14ac:dyDescent="0.35">
      <c r="A18" s="59" t="s">
        <v>39</v>
      </c>
      <c r="B18" s="10"/>
      <c r="D18" s="672" t="s">
        <v>131</v>
      </c>
      <c r="E18" s="672"/>
      <c r="H18" s="65"/>
      <c r="I18" s="65"/>
      <c r="J18" s="65"/>
      <c r="K18" s="65"/>
      <c r="L18" s="65"/>
      <c r="M18" s="65"/>
    </row>
    <row r="19" spans="1:13" x14ac:dyDescent="0.35">
      <c r="A19" s="60" t="s">
        <v>136</v>
      </c>
      <c r="B19" s="11"/>
    </row>
    <row r="20" spans="1:13" x14ac:dyDescent="0.35">
      <c r="A20" s="60" t="s">
        <v>137</v>
      </c>
      <c r="B20" s="12"/>
    </row>
    <row r="21" spans="1:13" x14ac:dyDescent="0.35">
      <c r="A21" s="13"/>
    </row>
    <row r="22" spans="1:13" x14ac:dyDescent="0.35">
      <c r="A22" s="7"/>
    </row>
    <row r="23" spans="1:13" x14ac:dyDescent="0.35">
      <c r="A23" s="7"/>
    </row>
    <row r="24" spans="1:13" ht="18.5" x14ac:dyDescent="0.45">
      <c r="A24" s="7"/>
      <c r="D24" s="673" t="s">
        <v>132</v>
      </c>
      <c r="E24" s="673"/>
      <c r="H24" s="61"/>
      <c r="I24" s="61"/>
      <c r="J24" s="61"/>
      <c r="K24" s="61"/>
      <c r="L24" s="61"/>
      <c r="M24" s="61"/>
    </row>
    <row r="25" spans="1:13" x14ac:dyDescent="0.35">
      <c r="A25" s="13" t="s">
        <v>42</v>
      </c>
    </row>
    <row r="26" spans="1:13" x14ac:dyDescent="0.35">
      <c r="A26" s="7" t="s">
        <v>128</v>
      </c>
    </row>
    <row r="27" spans="1:13" x14ac:dyDescent="0.35">
      <c r="A27" s="7" t="s">
        <v>119</v>
      </c>
    </row>
  </sheetData>
  <mergeCells count="6">
    <mergeCell ref="D24:E24"/>
    <mergeCell ref="A5:A6"/>
    <mergeCell ref="B5:B6"/>
    <mergeCell ref="C5:E5"/>
    <mergeCell ref="D17:E17"/>
    <mergeCell ref="D18:E18"/>
  </mergeCells>
  <phoneticPr fontId="22" type="noConversion"/>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29"/>
  <sheetViews>
    <sheetView workbookViewId="0">
      <selection activeCell="M12" sqref="M12:O12"/>
    </sheetView>
  </sheetViews>
  <sheetFormatPr defaultRowHeight="14.5" x14ac:dyDescent="0.35"/>
  <sheetData>
    <row r="1" spans="1:39" ht="15.5" x14ac:dyDescent="0.35">
      <c r="A1" s="795" t="s">
        <v>129</v>
      </c>
      <c r="B1" s="795"/>
      <c r="C1" s="795"/>
      <c r="D1" s="795"/>
      <c r="E1" s="795"/>
      <c r="F1" s="795"/>
      <c r="G1" s="795"/>
      <c r="H1" s="795"/>
      <c r="I1" s="795"/>
      <c r="J1" s="795"/>
      <c r="K1" s="795"/>
      <c r="L1" s="795"/>
      <c r="M1" s="795"/>
      <c r="N1" s="795"/>
      <c r="O1" s="795"/>
      <c r="P1" s="795"/>
      <c r="Q1" s="795"/>
      <c r="R1" s="795"/>
      <c r="S1" s="795"/>
      <c r="T1" s="795"/>
      <c r="U1" s="795"/>
      <c r="V1" s="795"/>
      <c r="W1" s="795"/>
      <c r="X1" s="795"/>
      <c r="Y1" s="795"/>
      <c r="Z1" s="795"/>
      <c r="AA1" s="795"/>
      <c r="AB1" s="795"/>
    </row>
    <row r="2" spans="1:39" x14ac:dyDescent="0.35">
      <c r="A2" s="796" t="s">
        <v>0</v>
      </c>
      <c r="B2" s="796"/>
      <c r="C2" s="796"/>
      <c r="D2" s="796"/>
      <c r="E2" s="796"/>
      <c r="F2" s="796"/>
      <c r="G2" s="796"/>
      <c r="H2" s="796"/>
      <c r="I2" s="796"/>
      <c r="J2" s="796"/>
      <c r="K2" s="796"/>
      <c r="L2" s="796"/>
      <c r="M2" s="796"/>
      <c r="N2" s="796"/>
      <c r="O2" s="796"/>
      <c r="P2" s="796"/>
      <c r="Q2" s="796"/>
      <c r="R2" s="796"/>
      <c r="S2" s="796"/>
      <c r="T2" s="796"/>
      <c r="U2" s="796"/>
      <c r="V2" s="796"/>
      <c r="W2" s="796"/>
      <c r="X2" s="796"/>
      <c r="Y2" s="796"/>
      <c r="Z2" s="796"/>
      <c r="AA2" s="796"/>
      <c r="AB2" s="796"/>
    </row>
    <row r="3" spans="1:39" x14ac:dyDescent="0.35">
      <c r="A3" s="798" t="s">
        <v>134</v>
      </c>
      <c r="B3" s="798"/>
      <c r="C3" s="798"/>
      <c r="D3" s="62"/>
      <c r="E3" s="62"/>
      <c r="F3" s="62"/>
      <c r="G3" s="62"/>
      <c r="H3" s="62"/>
      <c r="I3" s="62"/>
      <c r="J3" s="62"/>
      <c r="K3" s="62"/>
      <c r="L3" s="62"/>
      <c r="M3" s="62"/>
      <c r="N3" s="62"/>
      <c r="O3" s="62"/>
      <c r="P3" s="62"/>
      <c r="Q3" s="62"/>
      <c r="R3" s="62"/>
      <c r="S3" s="62"/>
      <c r="T3" s="62"/>
      <c r="U3" s="62"/>
      <c r="V3" s="62"/>
      <c r="W3" s="62"/>
      <c r="X3" s="62"/>
      <c r="Y3" s="62"/>
      <c r="Z3" s="62"/>
      <c r="AA3" s="62"/>
      <c r="AB3" s="62"/>
      <c r="AC3" s="62"/>
      <c r="AD3" s="62"/>
      <c r="AE3" s="62"/>
      <c r="AF3" s="62"/>
      <c r="AG3" s="62"/>
      <c r="AH3" s="62"/>
      <c r="AI3" s="62"/>
      <c r="AJ3" s="62"/>
      <c r="AK3" s="62"/>
      <c r="AL3" s="62"/>
      <c r="AM3" s="62"/>
    </row>
    <row r="4" spans="1:39" x14ac:dyDescent="0.35">
      <c r="A4" s="798" t="s">
        <v>135</v>
      </c>
      <c r="B4" s="798"/>
      <c r="C4" s="798"/>
      <c r="D4" s="62"/>
      <c r="E4" s="62"/>
      <c r="F4" s="62"/>
      <c r="G4" s="62"/>
      <c r="H4" s="62"/>
      <c r="I4" s="62"/>
      <c r="J4" s="62"/>
      <c r="K4" s="62"/>
      <c r="L4" s="62"/>
      <c r="M4" s="62"/>
      <c r="N4" s="62"/>
      <c r="O4" s="62"/>
      <c r="P4" s="62"/>
      <c r="Q4" s="62"/>
      <c r="R4" s="62"/>
      <c r="S4" s="62"/>
      <c r="T4" s="62"/>
      <c r="U4" s="62"/>
      <c r="V4" s="62"/>
      <c r="W4" s="62"/>
      <c r="X4" s="62"/>
      <c r="Y4" s="62"/>
      <c r="Z4" s="62"/>
      <c r="AA4" s="62"/>
      <c r="AB4" s="62"/>
      <c r="AC4" s="62"/>
      <c r="AD4" s="62"/>
      <c r="AE4" s="62"/>
      <c r="AF4" s="62"/>
      <c r="AG4" s="62"/>
      <c r="AH4" s="62"/>
      <c r="AI4" s="62"/>
      <c r="AJ4" s="62"/>
      <c r="AK4" s="62"/>
      <c r="AL4" s="62"/>
      <c r="AM4" s="62"/>
    </row>
    <row r="5" spans="1:39" x14ac:dyDescent="0.35">
      <c r="A5" s="798" t="s">
        <v>130</v>
      </c>
      <c r="B5" s="798"/>
      <c r="C5" s="798"/>
      <c r="D5" s="798"/>
      <c r="E5" s="798"/>
      <c r="F5" s="798"/>
      <c r="G5" s="798"/>
      <c r="H5" s="798"/>
      <c r="I5" s="798"/>
      <c r="J5" s="798"/>
      <c r="K5" s="798"/>
      <c r="L5" s="798"/>
      <c r="M5" s="798"/>
      <c r="N5" s="798"/>
      <c r="O5" s="798"/>
      <c r="P5" s="798"/>
      <c r="Q5" s="798"/>
      <c r="R5" s="798"/>
      <c r="S5" s="798"/>
      <c r="T5" s="798"/>
      <c r="U5" s="798"/>
      <c r="V5" s="798"/>
      <c r="W5" s="798"/>
      <c r="X5" s="798"/>
      <c r="Y5" s="798"/>
      <c r="Z5" s="798"/>
      <c r="AA5" s="798"/>
      <c r="AB5" s="798"/>
    </row>
    <row r="6" spans="1:39" ht="15" thickBot="1" x14ac:dyDescent="0.4">
      <c r="A6" s="799" t="s">
        <v>2</v>
      </c>
      <c r="B6" s="799"/>
      <c r="C6" s="799"/>
      <c r="D6" s="799"/>
      <c r="E6" s="799"/>
      <c r="F6" s="799"/>
      <c r="G6" s="799"/>
      <c r="H6" s="799"/>
      <c r="I6" s="799"/>
      <c r="J6" s="799"/>
      <c r="K6" s="799"/>
      <c r="L6" s="799"/>
      <c r="M6" s="799"/>
      <c r="N6" s="799"/>
      <c r="O6" s="799"/>
      <c r="P6" s="799"/>
      <c r="Q6" s="799"/>
      <c r="R6" s="799"/>
      <c r="S6" s="799"/>
      <c r="T6" s="799"/>
      <c r="U6" s="799"/>
      <c r="V6" s="799"/>
      <c r="W6" s="799"/>
      <c r="X6" s="799"/>
      <c r="Y6" s="799"/>
      <c r="Z6" s="799"/>
      <c r="AA6" s="799"/>
      <c r="AB6" s="799"/>
    </row>
    <row r="7" spans="1:39" ht="33.75" customHeight="1" thickBot="1" x14ac:dyDescent="0.4">
      <c r="A7" s="791" t="s">
        <v>3</v>
      </c>
      <c r="B7" s="791" t="s">
        <v>4</v>
      </c>
      <c r="C7" s="791" t="s">
        <v>5</v>
      </c>
      <c r="D7" s="791" t="s">
        <v>6</v>
      </c>
      <c r="E7" s="791" t="s">
        <v>7</v>
      </c>
      <c r="F7" s="793" t="s">
        <v>8</v>
      </c>
      <c r="G7" s="794"/>
      <c r="H7" s="793" t="s">
        <v>9</v>
      </c>
      <c r="I7" s="794"/>
      <c r="J7" s="793" t="s">
        <v>10</v>
      </c>
      <c r="K7" s="794"/>
      <c r="L7" s="793" t="s">
        <v>11</v>
      </c>
      <c r="M7" s="794"/>
      <c r="N7" s="793" t="s">
        <v>12</v>
      </c>
      <c r="O7" s="794"/>
      <c r="P7" s="793" t="s">
        <v>13</v>
      </c>
      <c r="Q7" s="794"/>
      <c r="R7" s="791" t="s">
        <v>53</v>
      </c>
      <c r="S7" s="791" t="s">
        <v>75</v>
      </c>
      <c r="T7" s="791" t="s">
        <v>14</v>
      </c>
      <c r="U7" s="791" t="s">
        <v>16</v>
      </c>
      <c r="V7" s="791" t="s">
        <v>15</v>
      </c>
      <c r="W7" s="811" t="s">
        <v>76</v>
      </c>
      <c r="X7" s="812"/>
      <c r="Y7" s="812"/>
      <c r="Z7" s="813"/>
      <c r="AA7" s="809" t="s">
        <v>77</v>
      </c>
      <c r="AB7" s="809" t="s">
        <v>17</v>
      </c>
    </row>
    <row r="8" spans="1:39" ht="90.5" thickBot="1" x14ac:dyDescent="0.4">
      <c r="A8" s="792"/>
      <c r="B8" s="792"/>
      <c r="C8" s="792"/>
      <c r="D8" s="792"/>
      <c r="E8" s="792"/>
      <c r="F8" s="1" t="s">
        <v>18</v>
      </c>
      <c r="G8" s="1" t="s">
        <v>19</v>
      </c>
      <c r="H8" s="1" t="s">
        <v>20</v>
      </c>
      <c r="I8" s="1" t="s">
        <v>19</v>
      </c>
      <c r="J8" s="1" t="s">
        <v>21</v>
      </c>
      <c r="K8" s="1" t="s">
        <v>19</v>
      </c>
      <c r="L8" s="1" t="s">
        <v>21</v>
      </c>
      <c r="M8" s="1" t="s">
        <v>19</v>
      </c>
      <c r="N8" s="1" t="s">
        <v>20</v>
      </c>
      <c r="O8" s="1" t="s">
        <v>19</v>
      </c>
      <c r="P8" s="1" t="s">
        <v>20</v>
      </c>
      <c r="Q8" s="1" t="s">
        <v>19</v>
      </c>
      <c r="R8" s="792"/>
      <c r="S8" s="792"/>
      <c r="T8" s="792"/>
      <c r="U8" s="792"/>
      <c r="V8" s="792"/>
      <c r="W8" s="2" t="s">
        <v>78</v>
      </c>
      <c r="X8" s="2" t="s">
        <v>79</v>
      </c>
      <c r="Y8" s="2" t="s">
        <v>80</v>
      </c>
      <c r="Z8" s="2" t="s">
        <v>81</v>
      </c>
      <c r="AA8" s="810"/>
      <c r="AB8" s="810"/>
    </row>
    <row r="9" spans="1:39" ht="15" thickBot="1" x14ac:dyDescent="0.4">
      <c r="A9" s="3"/>
      <c r="B9" s="2" t="s">
        <v>28</v>
      </c>
      <c r="C9" s="2">
        <v>1</v>
      </c>
      <c r="D9" s="2">
        <v>2</v>
      </c>
      <c r="E9" s="2">
        <v>3</v>
      </c>
      <c r="F9" s="2">
        <v>4</v>
      </c>
      <c r="G9" s="2">
        <v>5</v>
      </c>
      <c r="H9" s="2">
        <v>6</v>
      </c>
      <c r="I9" s="2">
        <v>7</v>
      </c>
      <c r="J9" s="2">
        <v>8</v>
      </c>
      <c r="K9" s="2">
        <v>9</v>
      </c>
      <c r="L9" s="2">
        <v>10</v>
      </c>
      <c r="M9" s="2">
        <v>11</v>
      </c>
      <c r="N9" s="2">
        <v>12</v>
      </c>
      <c r="O9" s="2">
        <v>13</v>
      </c>
      <c r="P9" s="2">
        <v>14</v>
      </c>
      <c r="Q9" s="2">
        <v>15</v>
      </c>
      <c r="R9" s="2">
        <v>16</v>
      </c>
      <c r="S9" s="2">
        <v>17</v>
      </c>
      <c r="T9" s="2">
        <v>18</v>
      </c>
      <c r="U9" s="2">
        <v>19</v>
      </c>
      <c r="V9" s="2">
        <v>20</v>
      </c>
      <c r="W9" s="2">
        <v>21</v>
      </c>
      <c r="X9" s="2">
        <v>22</v>
      </c>
      <c r="Y9" s="2">
        <v>23</v>
      </c>
      <c r="Z9" s="2">
        <v>24</v>
      </c>
      <c r="AA9" s="2">
        <v>25</v>
      </c>
      <c r="AB9" s="2">
        <v>26</v>
      </c>
    </row>
    <row r="10" spans="1:39" ht="20.5" thickBot="1" x14ac:dyDescent="0.4">
      <c r="A10" s="3" t="s">
        <v>29</v>
      </c>
      <c r="B10" s="4" t="s">
        <v>30</v>
      </c>
      <c r="C10" s="2"/>
      <c r="D10" s="2"/>
      <c r="E10" s="2"/>
      <c r="F10" s="2"/>
      <c r="G10" s="2"/>
      <c r="H10" s="2"/>
      <c r="I10" s="2"/>
      <c r="J10" s="2"/>
      <c r="K10" s="2"/>
      <c r="L10" s="2"/>
      <c r="M10" s="2"/>
      <c r="N10" s="2"/>
      <c r="O10" s="2"/>
      <c r="P10" s="2"/>
      <c r="Q10" s="2"/>
      <c r="R10" s="2"/>
      <c r="S10" s="2"/>
      <c r="T10" s="2"/>
      <c r="U10" s="2"/>
      <c r="V10" s="2"/>
      <c r="W10" s="2"/>
      <c r="X10" s="2"/>
      <c r="Y10" s="2"/>
      <c r="Z10" s="2"/>
      <c r="AA10" s="2"/>
      <c r="AB10" s="2"/>
    </row>
    <row r="11" spans="1:39" ht="15" thickBot="1" x14ac:dyDescent="0.4">
      <c r="A11" s="3"/>
      <c r="B11" s="4" t="s">
        <v>31</v>
      </c>
      <c r="C11" s="2"/>
      <c r="D11" s="2"/>
      <c r="E11" s="2"/>
      <c r="F11" s="2"/>
      <c r="G11" s="2"/>
      <c r="H11" s="2"/>
      <c r="I11" s="2"/>
      <c r="J11" s="2"/>
      <c r="K11" s="2"/>
      <c r="L11" s="2"/>
      <c r="M11" s="2"/>
      <c r="N11" s="2"/>
      <c r="O11" s="2"/>
      <c r="P11" s="2"/>
      <c r="Q11" s="2"/>
      <c r="R11" s="2"/>
      <c r="S11" s="2"/>
      <c r="T11" s="2"/>
      <c r="U11" s="2"/>
      <c r="V11" s="2"/>
      <c r="W11" s="2"/>
      <c r="X11" s="2"/>
      <c r="Y11" s="2"/>
      <c r="Z11" s="2"/>
      <c r="AA11" s="2"/>
      <c r="AB11" s="2"/>
    </row>
    <row r="12" spans="1:39" ht="20.5" thickBot="1" x14ac:dyDescent="0.4">
      <c r="A12" s="3" t="s">
        <v>32</v>
      </c>
      <c r="B12" s="4" t="s">
        <v>33</v>
      </c>
      <c r="C12" s="2"/>
      <c r="D12" s="2"/>
      <c r="E12" s="2"/>
      <c r="F12" s="2"/>
      <c r="G12" s="2"/>
      <c r="H12" s="2"/>
      <c r="I12" s="2"/>
      <c r="J12" s="2"/>
      <c r="K12" s="2"/>
      <c r="L12" s="2"/>
      <c r="M12" s="2"/>
      <c r="N12" s="2"/>
      <c r="O12" s="2"/>
      <c r="P12" s="2"/>
      <c r="Q12" s="2"/>
      <c r="R12" s="2"/>
      <c r="S12" s="2"/>
      <c r="T12" s="2"/>
      <c r="U12" s="2"/>
      <c r="V12" s="2"/>
      <c r="W12" s="2"/>
      <c r="X12" s="2"/>
      <c r="Y12" s="2"/>
      <c r="Z12" s="2"/>
      <c r="AA12" s="2"/>
      <c r="AB12" s="2"/>
    </row>
    <row r="13" spans="1:39" ht="15" thickBot="1" x14ac:dyDescent="0.4">
      <c r="A13" s="3"/>
      <c r="B13" s="4" t="s">
        <v>31</v>
      </c>
      <c r="C13" s="2"/>
      <c r="D13" s="2"/>
      <c r="E13" s="2"/>
      <c r="F13" s="2"/>
      <c r="G13" s="2"/>
      <c r="H13" s="2"/>
      <c r="I13" s="2"/>
      <c r="J13" s="2"/>
      <c r="K13" s="2"/>
      <c r="L13" s="2"/>
      <c r="M13" s="2"/>
      <c r="N13" s="2"/>
      <c r="O13" s="2"/>
      <c r="P13" s="2"/>
      <c r="Q13" s="2"/>
      <c r="R13" s="2"/>
      <c r="S13" s="2"/>
      <c r="T13" s="2"/>
      <c r="U13" s="2"/>
      <c r="V13" s="2"/>
      <c r="W13" s="2"/>
      <c r="X13" s="2"/>
      <c r="Y13" s="2"/>
      <c r="Z13" s="2"/>
      <c r="AA13" s="2"/>
      <c r="AB13" s="2"/>
    </row>
    <row r="14" spans="1:39" ht="20.5" thickBot="1" x14ac:dyDescent="0.4">
      <c r="A14" s="3" t="s">
        <v>34</v>
      </c>
      <c r="B14" s="4" t="s">
        <v>35</v>
      </c>
      <c r="C14" s="2"/>
      <c r="D14" s="2"/>
      <c r="E14" s="2"/>
      <c r="F14" s="2"/>
      <c r="G14" s="2"/>
      <c r="H14" s="2"/>
      <c r="I14" s="2"/>
      <c r="J14" s="2"/>
      <c r="K14" s="2"/>
      <c r="L14" s="2"/>
      <c r="M14" s="2"/>
      <c r="N14" s="2"/>
      <c r="O14" s="2"/>
      <c r="P14" s="2"/>
      <c r="Q14" s="2"/>
      <c r="R14" s="2"/>
      <c r="S14" s="2"/>
      <c r="T14" s="2"/>
      <c r="U14" s="2"/>
      <c r="V14" s="2"/>
      <c r="W14" s="2"/>
      <c r="X14" s="2"/>
      <c r="Y14" s="2"/>
      <c r="Z14" s="2"/>
      <c r="AA14" s="2"/>
      <c r="AB14" s="2"/>
    </row>
    <row r="15" spans="1:39" ht="15" thickBot="1" x14ac:dyDescent="0.4">
      <c r="A15" s="3"/>
      <c r="B15" s="4" t="s">
        <v>31</v>
      </c>
      <c r="C15" s="2"/>
      <c r="D15" s="2"/>
      <c r="E15" s="2"/>
      <c r="F15" s="2"/>
      <c r="G15" s="2"/>
      <c r="H15" s="2"/>
      <c r="I15" s="2"/>
      <c r="J15" s="2"/>
      <c r="K15" s="2"/>
      <c r="L15" s="2"/>
      <c r="M15" s="2"/>
      <c r="N15" s="2"/>
      <c r="O15" s="2"/>
      <c r="P15" s="2"/>
      <c r="Q15" s="2"/>
      <c r="R15" s="2"/>
      <c r="S15" s="2"/>
      <c r="T15" s="2"/>
      <c r="U15" s="2"/>
      <c r="V15" s="2"/>
      <c r="W15" s="2"/>
      <c r="X15" s="2"/>
      <c r="Y15" s="2"/>
      <c r="Z15" s="2"/>
      <c r="AA15" s="2"/>
      <c r="AB15" s="2"/>
    </row>
    <row r="16" spans="1:39" ht="20.5" thickBot="1" x14ac:dyDescent="0.4">
      <c r="A16" s="3" t="s">
        <v>36</v>
      </c>
      <c r="B16" s="4" t="s">
        <v>37</v>
      </c>
      <c r="C16" s="2"/>
      <c r="D16" s="2"/>
      <c r="E16" s="2"/>
      <c r="F16" s="2"/>
      <c r="G16" s="2"/>
      <c r="H16" s="2"/>
      <c r="I16" s="2"/>
      <c r="J16" s="2"/>
      <c r="K16" s="2"/>
      <c r="L16" s="2"/>
      <c r="M16" s="2"/>
      <c r="N16" s="2"/>
      <c r="O16" s="2"/>
      <c r="P16" s="2"/>
      <c r="Q16" s="2"/>
      <c r="R16" s="2"/>
      <c r="S16" s="2"/>
      <c r="T16" s="2"/>
      <c r="U16" s="2"/>
      <c r="V16" s="2"/>
      <c r="W16" s="2"/>
      <c r="X16" s="2"/>
      <c r="Y16" s="2"/>
      <c r="Z16" s="2"/>
      <c r="AA16" s="2"/>
      <c r="AB16" s="2"/>
    </row>
    <row r="17" spans="1:39" ht="15" thickBot="1" x14ac:dyDescent="0.4">
      <c r="A17" s="3"/>
      <c r="B17" s="4" t="s">
        <v>31</v>
      </c>
      <c r="C17" s="2"/>
      <c r="D17" s="2"/>
      <c r="E17" s="2"/>
      <c r="F17" s="2"/>
      <c r="G17" s="2"/>
      <c r="H17" s="2"/>
      <c r="I17" s="2"/>
      <c r="J17" s="2"/>
      <c r="K17" s="2"/>
      <c r="L17" s="2"/>
      <c r="M17" s="2"/>
      <c r="N17" s="2"/>
      <c r="O17" s="2"/>
      <c r="P17" s="2"/>
      <c r="Q17" s="2"/>
      <c r="R17" s="2"/>
      <c r="S17" s="2"/>
      <c r="T17" s="2"/>
      <c r="U17" s="2"/>
      <c r="V17" s="2"/>
      <c r="W17" s="2"/>
      <c r="X17" s="2"/>
      <c r="Y17" s="2"/>
      <c r="Z17" s="2"/>
      <c r="AA17" s="2"/>
      <c r="AB17" s="2"/>
    </row>
    <row r="18" spans="1:39" ht="21.5" thickBot="1" x14ac:dyDescent="0.4">
      <c r="A18" s="3"/>
      <c r="B18" s="5" t="s">
        <v>38</v>
      </c>
      <c r="C18" s="2"/>
      <c r="D18" s="2"/>
      <c r="E18" s="2"/>
      <c r="F18" s="2"/>
      <c r="G18" s="2"/>
      <c r="H18" s="2"/>
      <c r="I18" s="2"/>
      <c r="J18" s="2"/>
      <c r="K18" s="2"/>
      <c r="L18" s="2"/>
      <c r="M18" s="2"/>
      <c r="N18" s="2"/>
      <c r="O18" s="2"/>
      <c r="P18" s="2"/>
      <c r="Q18" s="2"/>
      <c r="R18" s="2"/>
      <c r="S18" s="2"/>
      <c r="T18" s="2"/>
      <c r="U18" s="2"/>
      <c r="V18" s="2"/>
      <c r="W18" s="2"/>
      <c r="X18" s="2"/>
      <c r="Y18" s="2"/>
      <c r="Z18" s="2"/>
      <c r="AA18" s="2"/>
      <c r="AB18" s="2"/>
    </row>
    <row r="19" spans="1:39" x14ac:dyDescent="0.35">
      <c r="A19" s="7"/>
    </row>
    <row r="20" spans="1:39" ht="16.5" customHeight="1" x14ac:dyDescent="0.35">
      <c r="A20" s="8"/>
      <c r="B20" s="9"/>
      <c r="AF20" s="671" t="s">
        <v>133</v>
      </c>
      <c r="AG20" s="671"/>
      <c r="AH20" s="671"/>
      <c r="AI20" s="671"/>
      <c r="AJ20" s="671"/>
      <c r="AK20" s="671"/>
      <c r="AL20" s="64"/>
      <c r="AM20" s="64"/>
    </row>
    <row r="21" spans="1:39" ht="17.5" x14ac:dyDescent="0.35">
      <c r="A21" s="59" t="s">
        <v>39</v>
      </c>
      <c r="B21" s="10"/>
      <c r="AF21" s="672" t="s">
        <v>131</v>
      </c>
      <c r="AG21" s="672"/>
      <c r="AH21" s="672"/>
      <c r="AI21" s="672"/>
      <c r="AJ21" s="672"/>
      <c r="AK21" s="672"/>
      <c r="AL21" s="65"/>
      <c r="AM21" s="65"/>
    </row>
    <row r="22" spans="1:39" x14ac:dyDescent="0.35">
      <c r="A22" s="60" t="s">
        <v>40</v>
      </c>
      <c r="B22" s="11"/>
    </row>
    <row r="23" spans="1:39" x14ac:dyDescent="0.35">
      <c r="A23" s="60" t="s">
        <v>41</v>
      </c>
      <c r="B23" s="12"/>
    </row>
    <row r="24" spans="1:39" x14ac:dyDescent="0.35">
      <c r="A24" s="60"/>
      <c r="B24" s="12"/>
    </row>
    <row r="25" spans="1:39" x14ac:dyDescent="0.35">
      <c r="A25" s="13"/>
    </row>
    <row r="26" spans="1:39" x14ac:dyDescent="0.35">
      <c r="A26" s="7"/>
    </row>
    <row r="27" spans="1:39" ht="18.5" x14ac:dyDescent="0.45">
      <c r="A27" s="13"/>
      <c r="AF27" s="673" t="s">
        <v>132</v>
      </c>
      <c r="AG27" s="673"/>
      <c r="AH27" s="673"/>
      <c r="AI27" s="673"/>
      <c r="AJ27" s="673"/>
      <c r="AK27" s="673"/>
      <c r="AL27" s="61"/>
      <c r="AM27" s="61"/>
    </row>
    <row r="28" spans="1:39" x14ac:dyDescent="0.35">
      <c r="A28" s="13" t="s">
        <v>42</v>
      </c>
    </row>
    <row r="29" spans="1:39" x14ac:dyDescent="0.35">
      <c r="A29" s="7" t="s">
        <v>82</v>
      </c>
    </row>
  </sheetData>
  <mergeCells count="28">
    <mergeCell ref="AF27:AK27"/>
    <mergeCell ref="A3:C3"/>
    <mergeCell ref="A4:C4"/>
    <mergeCell ref="A5:AB5"/>
    <mergeCell ref="A6:AB6"/>
    <mergeCell ref="S7:S8"/>
    <mergeCell ref="T7:T8"/>
    <mergeCell ref="U7:U8"/>
    <mergeCell ref="V7:V8"/>
    <mergeCell ref="W7:Z7"/>
    <mergeCell ref="AF21:AK21"/>
    <mergeCell ref="R7:R8"/>
    <mergeCell ref="A7:A8"/>
    <mergeCell ref="B7:B8"/>
    <mergeCell ref="C7:C8"/>
    <mergeCell ref="D7:D8"/>
    <mergeCell ref="E7:E8"/>
    <mergeCell ref="F7:G7"/>
    <mergeCell ref="AA7:AA8"/>
    <mergeCell ref="H7:I7"/>
    <mergeCell ref="A1:AB1"/>
    <mergeCell ref="A2:AB2"/>
    <mergeCell ref="AB7:AB8"/>
    <mergeCell ref="AF20:AK20"/>
    <mergeCell ref="J7:K7"/>
    <mergeCell ref="L7:M7"/>
    <mergeCell ref="N7:O7"/>
    <mergeCell ref="P7:Q7"/>
  </mergeCells>
  <phoneticPr fontId="22"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14</vt:i4>
      </vt:variant>
      <vt:variant>
        <vt:lpstr>Named Ranges</vt:lpstr>
      </vt:variant>
      <vt:variant>
        <vt:i4>6</vt:i4>
      </vt:variant>
    </vt:vector>
  </HeadingPairs>
  <TitlesOfParts>
    <vt:vector size="20" baseType="lpstr">
      <vt:lpstr>3- báo cáo</vt:lpstr>
      <vt:lpstr>Nghỉ hưu</vt:lpstr>
      <vt:lpstr>Thôi việc</vt:lpstr>
      <vt:lpstr>1a-Trình BNV</vt:lpstr>
      <vt:lpstr>1c-Trình BNV</vt:lpstr>
      <vt:lpstr>Biểu 2 </vt:lpstr>
      <vt:lpstr>Hưu - chi tiết </vt:lpstr>
      <vt:lpstr>Hưu - chi tiết  (2)</vt:lpstr>
      <vt:lpstr>TVN-Chi tiết</vt:lpstr>
      <vt:lpstr>1b-Chuyển sang tổ chức</vt:lpstr>
      <vt:lpstr>1d-Thôi việc sau khi đi học</vt:lpstr>
      <vt:lpstr>3-Báo cáo</vt:lpstr>
      <vt:lpstr>4-Báo cáo</vt:lpstr>
      <vt:lpstr>5-Báo cáo</vt:lpstr>
      <vt:lpstr>'3- báo cáo'!Print_Area</vt:lpstr>
      <vt:lpstr>'1a-Trình BNV'!Print_Titles</vt:lpstr>
      <vt:lpstr>'1c-Trình BNV'!Print_Titles</vt:lpstr>
      <vt:lpstr>'3- báo cáo'!Print_Titles</vt:lpstr>
      <vt:lpstr>'Biểu 2 '!Print_Titles</vt:lpstr>
      <vt:lpstr>'Nghỉ hưu'!Print_Titles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Quynh</dc:creator>
  <cp:lastModifiedBy>USER</cp:lastModifiedBy>
  <cp:lastPrinted>2025-04-17T03:56:08Z</cp:lastPrinted>
  <dcterms:created xsi:type="dcterms:W3CDTF">2015-05-19T07:54:18Z</dcterms:created>
  <dcterms:modified xsi:type="dcterms:W3CDTF">2025-04-18T01:56:45Z</dcterms:modified>
</cp:coreProperties>
</file>